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q/nFyLJt1kLmBHbF0d3NR/pK3hxE1e9+uzPnDvXP3TzLc5/f0cLdo5ppjqPmpHXtXj5yYs3wts7rqpM2AKdXhQ==" workbookSaltValue="SKv2s7ga84eivv11ATMCu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N14" i="2"/>
  <c r="N23" i="2"/>
  <c r="F30" i="17"/>
  <c r="F14" i="7"/>
  <c r="BK21" i="11"/>
  <c r="V13" i="11"/>
  <c r="AP22" i="20"/>
  <c r="BL25" i="11"/>
  <c r="BM20" i="11"/>
  <c r="BU28" i="17"/>
  <c r="BW9" i="20"/>
  <c r="BV17" i="16"/>
  <c r="BV25" i="16"/>
  <c r="U10" i="17"/>
  <c r="BU18" i="17"/>
  <c r="BV20" i="16"/>
  <c r="T14" i="16"/>
  <c r="AZ22" i="11"/>
  <c r="X16" i="17"/>
  <c r="P16" i="17"/>
  <c r="BH25" i="16"/>
  <c r="BK20" i="11"/>
  <c r="BJ10" i="11"/>
  <c r="Q16" i="17"/>
  <c r="BF16" i="11"/>
  <c r="BL22" i="11"/>
  <c r="BI22" i="11"/>
  <c r="BK10" i="11"/>
  <c r="T14" i="20"/>
  <c r="BF25" i="8"/>
  <c r="AY14" i="8"/>
  <c r="BD9" i="8"/>
  <c r="BF9" i="8"/>
  <c r="C30" i="7"/>
  <c r="L16" i="2"/>
  <c r="X19" i="16"/>
  <c r="AO14" i="21"/>
  <c r="AA11" i="16"/>
  <c r="AP14" i="16"/>
  <c r="V9" i="16"/>
  <c r="T23" i="17"/>
  <c r="T26" i="17" s="1"/>
  <c r="T30" i="17" s="1"/>
  <c r="BG16" i="13"/>
  <c r="BE17" i="13"/>
  <c r="BE16" i="13"/>
  <c r="X32" i="20"/>
  <c r="G30" i="14"/>
  <c r="G23" i="14"/>
  <c r="BF17" i="8" l="1"/>
  <c r="BD12" i="8"/>
  <c r="M23" i="2"/>
  <c r="K30" i="2"/>
  <c r="B16" i="6"/>
  <c r="H21" i="2"/>
  <c r="AA9" i="16"/>
  <c r="L21" i="2"/>
  <c r="L20" i="2"/>
  <c r="L18" i="2"/>
  <c r="L17" i="2"/>
  <c r="L29" i="2"/>
  <c r="BI21" i="11"/>
  <c r="BH25" i="11"/>
  <c r="AQ12" i="21"/>
  <c r="BH17" i="11"/>
  <c r="BM18" i="11"/>
  <c r="BK17" i="11"/>
  <c r="AZ25" i="11"/>
  <c r="AZ30" i="11" s="1"/>
  <c r="BH21" i="11"/>
  <c r="BF12" i="11"/>
  <c r="T17" i="11"/>
  <c r="R28" i="14"/>
  <c r="S11" i="17"/>
  <c r="BV10" i="16"/>
  <c r="BW16" i="20"/>
  <c r="BW17" i="20"/>
  <c r="BU21" i="17"/>
  <c r="BU11" i="17"/>
  <c r="BJ28" i="11"/>
  <c r="AZ9" i="11"/>
  <c r="AZ14" i="11" s="1"/>
  <c r="AZ13" i="11"/>
  <c r="BI19" i="11"/>
  <c r="BI25" i="11"/>
  <c r="Z14" i="17"/>
  <c r="AZ19" i="11"/>
  <c r="BG22" i="11"/>
  <c r="BF18" i="11"/>
  <c r="Q18" i="20"/>
  <c r="Q23" i="20" s="1"/>
  <c r="BG25" i="11"/>
  <c r="V16" i="1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P13" i="11" s="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AQ17" i="11" l="1"/>
  <c r="Q12"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<sst xmlns="http://schemas.openxmlformats.org/spreadsheetml/2006/main" count="2682" uniqueCount="1192">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</sst>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FnEYEmgEK4uXGESPJV1/Y9cQv82mNInLLnCqSbxPvPD1EvYeMlYu6IbR9akUsP28TmqLpIJF3HX/lhJWA10yQ==" saltValue="kX0RnObhByTwfd88gqBi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52</v>
      </c>
      <c r="F10" s="240">
        <f>IF(ISNUMBER(Datos!K10),Datos!K10," - ")</f>
        <v>30</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2.4444444444444446</v>
      </c>
      <c r="L10" s="1402">
        <f>IF(ISNUMBER(NºAsuntos!I10/NºAsuntos!G10),(NºAsuntos!I10/NºAsuntos!G10)*11," - ")</f>
        <v>11.366666666666667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4.6856716417910445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52</v>
      </c>
      <c r="F14" s="1409">
        <f>SUBTOTAL(9,F9:F13)</f>
        <v>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634</v>
      </c>
      <c r="D17" s="239">
        <f>IF(ISNUMBER(IF(D_I="SI",Datos!I17,Datos!I17+Datos!AC17)),IF(D_I="SI",Datos!I17,Datos!I17+Datos!AC17)," - ")</f>
        <v>604</v>
      </c>
      <c r="E17" s="240">
        <f>IF(ISNUMBER(IF(D_I="SI",Datos!J17,Datos!J17+Datos!AD17)),IF(D_I="SI",Datos!J17,Datos!J17+Datos!AD17)," - ")</f>
        <v>3925</v>
      </c>
      <c r="F17" s="240">
        <f>IF(ISNUMBER(IF(D_I="SI",Datos!K17,Datos!K17+Datos!AE17)),IF(D_I="SI",Datos!K17,Datos!K17+Datos!AE17)," - ")</f>
        <v>3904</v>
      </c>
      <c r="G17" s="1390" t="str">
        <f>IF(Datos!E17&lt;&gt;"",Datos!E17,Datos!D17)</f>
        <v>04</v>
      </c>
      <c r="H17" s="241">
        <f>IF(ISNUMBER(IF(D_I="SI",Datos!L17,Datos!L17+Datos!AF17)),IF(D_I="SI",Datos!L17,Datos!L17+Datos!AF17)," - ")</f>
        <v>655</v>
      </c>
      <c r="I17" s="1400" t="str">
        <f>IF(ISNUMBER(Datos!AS17/Datos!BM17),Datos!AS17/Datos!BM17," - ")</f>
        <v xml:space="preserve"> - </v>
      </c>
      <c r="J17" s="1401">
        <f>IF(ISNUMBER(Datos!BY17/Datos!CN17),Datos!BY17/Datos!CN17," - ")</f>
        <v>0</v>
      </c>
      <c r="K17" s="244">
        <f t="shared" si="3"/>
        <v>3.3123028391167195E-2</v>
      </c>
      <c r="L17" s="1402">
        <f>IF(ISNUMBER(NºAsuntos!I17/NºAsuntos!G17),(NºAsuntos!I17/NºAsuntos!G17)*11," - ")</f>
        <v>1.8455430327868851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229</v>
      </c>
      <c r="F18" s="240">
        <f>IF(ISNUMBER(IF(D_I="SI",Datos!K18,Datos!K18+Datos!AE18)),IF(D_I="SI",Datos!K18,Datos!K18+Datos!AE18)," - ")</f>
        <v>227</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6.0606060606060608E-2</v>
      </c>
      <c r="L18" s="1402">
        <f>IF(ISNUMBER(NºAsuntos!I18/NºAsuntos!G18),(NºAsuntos!I18/NºAsuntos!G18)*11," - ")</f>
        <v>1.696035242290749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667</v>
      </c>
      <c r="D23" s="1407">
        <f>SUBTOTAL(9,D16:D22)</f>
        <v>637</v>
      </c>
      <c r="E23" s="1408">
        <f>SUBTOTAL(9,E16:E22)</f>
        <v>4154</v>
      </c>
      <c r="F23" s="1408">
        <f>SUBTOTAL(9,F16:F22)</f>
        <v>4131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676</v>
      </c>
      <c r="D31" s="1435">
        <f>SUBTOTAL(9,D9:D30)</f>
        <v>646</v>
      </c>
      <c r="E31" s="1436">
        <f>SUBTOTAL(9,E9:E30)</f>
        <v>4206</v>
      </c>
      <c r="F31" s="1436">
        <f>SUBTOTAL(9,F9:F30)</f>
        <v>4161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BnfzQjkOV0oHIoEdNYtOkoRG3kHR68DZGtLKkl6L6SQAhH/6kPB1UBc/5cTq2aQ/SV/iQiEFmE3H3eENvHYQXQ==" saltValue="+fD39aLeO+q6nMfPItPN5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K5x15zntn4uc1cEpLsYRf2C+tXTyj03jyF2hPqi5inGylzjfms15AgR8CUuyoniyf2EIcTBUKSJK0uns8388Q==" saltValue="lPxDsYnbjnN1yoV7vYKX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52</v>
      </c>
      <c r="K10" s="194">
        <v>30</v>
      </c>
      <c r="L10" s="194">
        <v>31</v>
      </c>
      <c r="M10" s="194">
        <v>16</v>
      </c>
      <c r="N10" s="194">
        <v>10</v>
      </c>
      <c r="O10" s="194">
        <v>3</v>
      </c>
      <c r="P10" s="194">
        <v>0</v>
      </c>
      <c r="Q10" s="194">
        <v>7</v>
      </c>
      <c r="R10" s="194">
        <v>4</v>
      </c>
      <c r="S10" s="194">
        <v>8</v>
      </c>
      <c r="T10" s="194">
        <v>30</v>
      </c>
      <c r="U10" s="194">
        <v>29</v>
      </c>
      <c r="V10" s="194">
        <v>9</v>
      </c>
      <c r="W10" s="194">
        <v>13</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30</v>
      </c>
      <c r="BA10" s="139">
        <f t="shared" si="0"/>
        <v>29</v>
      </c>
      <c r="BB10" s="139">
        <f t="shared" si="0"/>
        <v>9</v>
      </c>
      <c r="BC10" s="135">
        <f t="shared" si="0"/>
        <v>13</v>
      </c>
      <c r="BD10" s="136">
        <f>IF(ISNUMBER(BA10/AZ10),BA10/AZ10," - ")</f>
        <v>0.96666666666666667</v>
      </c>
      <c r="BE10" s="137">
        <f>IF(ISNUMBER(BB10/BA10),BB10/BA10, " - ")</f>
        <v>0.31034482758620691</v>
      </c>
      <c r="BF10" s="137">
        <f>IF(ISNUMBER(BC10/BA10),BC10/BA10, " - ")</f>
        <v>0.44827586206896552</v>
      </c>
      <c r="BG10" s="209">
        <f>IF(ISNUMBER((AY10+AZ10)/BA10),(AY10+AZ10)/BA10," - ")</f>
        <v>1.3103448275862069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1246</v>
      </c>
      <c r="J12" s="196">
        <v>3113</v>
      </c>
      <c r="K12" s="196">
        <v>2980</v>
      </c>
      <c r="L12" s="196">
        <v>1379</v>
      </c>
      <c r="M12" s="196">
        <v>773</v>
      </c>
      <c r="N12" s="196">
        <v>1291</v>
      </c>
      <c r="O12" s="194">
        <v>1613</v>
      </c>
      <c r="P12" s="196">
        <v>964</v>
      </c>
      <c r="Q12" s="196">
        <v>1186</v>
      </c>
      <c r="R12" s="196">
        <v>2747</v>
      </c>
      <c r="S12" s="196">
        <v>1346</v>
      </c>
      <c r="T12" s="196">
        <v>2946</v>
      </c>
      <c r="U12" s="196">
        <v>3042</v>
      </c>
      <c r="V12" s="196">
        <v>1246</v>
      </c>
      <c r="W12" s="196">
        <v>964</v>
      </c>
      <c r="X12" s="202">
        <v>1408</v>
      </c>
      <c r="Y12" s="204">
        <v>55</v>
      </c>
      <c r="Z12" s="194">
        <v>363</v>
      </c>
      <c r="AA12" s="194">
        <v>370</v>
      </c>
      <c r="AB12" s="194">
        <v>48</v>
      </c>
      <c r="AC12" s="196">
        <v>0</v>
      </c>
      <c r="AD12" s="196">
        <v>0</v>
      </c>
      <c r="AE12" s="196">
        <v>0</v>
      </c>
      <c r="AF12" s="202">
        <v>0</v>
      </c>
      <c r="AG12" s="215">
        <v>60</v>
      </c>
      <c r="AH12" s="196">
        <v>489</v>
      </c>
      <c r="AI12" s="196">
        <v>498</v>
      </c>
      <c r="AJ12" s="216">
        <v>55</v>
      </c>
      <c r="AK12" s="195">
        <v>0</v>
      </c>
      <c r="AL12" s="196">
        <v>0</v>
      </c>
      <c r="AM12" s="196">
        <v>0</v>
      </c>
      <c r="AN12" s="202">
        <v>0</v>
      </c>
      <c r="AO12" s="283">
        <v>5</v>
      </c>
      <c r="AP12" s="168">
        <v>5</v>
      </c>
      <c r="AQ12" s="168">
        <v>5</v>
      </c>
      <c r="AR12" s="167">
        <v>5</v>
      </c>
      <c r="AS12" s="381" t="s">
        <v>1075</v>
      </c>
      <c r="AT12" s="216"/>
      <c r="AU12" s="215"/>
      <c r="AV12" s="216"/>
      <c r="AW12" s="215"/>
      <c r="AX12" s="216"/>
      <c r="AY12" s="136">
        <f t="shared" si="1"/>
        <v>1406</v>
      </c>
      <c r="AZ12" s="137">
        <f t="shared" si="1"/>
        <v>3435</v>
      </c>
      <c r="BA12" s="137">
        <f t="shared" si="1"/>
        <v>3540</v>
      </c>
      <c r="BB12" s="137">
        <f t="shared" si="1"/>
        <v>1301</v>
      </c>
      <c r="BC12" s="135">
        <f>IF(ISNUMBER(X12),X12," - ")</f>
        <v>1408</v>
      </c>
      <c r="BD12" s="136">
        <f t="shared" si="2"/>
        <v>1.0305676855895196</v>
      </c>
      <c r="BE12" s="137">
        <f t="shared" si="3"/>
        <v>0.36751412429378533</v>
      </c>
      <c r="BF12" s="137">
        <f t="shared" si="4"/>
        <v>0.3977401129943503</v>
      </c>
      <c r="BG12" s="209">
        <f t="shared" si="5"/>
        <v>1.3675141242937854</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1255</v>
      </c>
      <c r="J14" s="197">
        <f t="shared" si="7"/>
        <v>3165</v>
      </c>
      <c r="K14" s="197">
        <f t="shared" si="7"/>
        <v>3010</v>
      </c>
      <c r="L14" s="197">
        <f t="shared" si="7"/>
        <v>1410</v>
      </c>
      <c r="M14" s="197">
        <f t="shared" si="7"/>
        <v>789</v>
      </c>
      <c r="N14" s="197">
        <f t="shared" si="7"/>
        <v>1301</v>
      </c>
      <c r="O14" s="197">
        <f t="shared" si="7"/>
        <v>1616</v>
      </c>
      <c r="P14" s="197">
        <f t="shared" si="7"/>
        <v>964</v>
      </c>
      <c r="Q14" s="197">
        <f t="shared" si="7"/>
        <v>1193</v>
      </c>
      <c r="R14" s="197">
        <f t="shared" si="7"/>
        <v>2751</v>
      </c>
      <c r="S14" s="197">
        <f t="shared" si="7"/>
        <v>1354</v>
      </c>
      <c r="T14" s="197">
        <f t="shared" si="7"/>
        <v>2976</v>
      </c>
      <c r="U14" s="197">
        <f t="shared" si="7"/>
        <v>3071</v>
      </c>
      <c r="V14" s="197">
        <f t="shared" si="7"/>
        <v>1255</v>
      </c>
      <c r="W14" s="197">
        <f t="shared" si="7"/>
        <v>977</v>
      </c>
      <c r="X14" s="197">
        <f t="shared" si="7"/>
        <v>1417</v>
      </c>
      <c r="Y14" s="197">
        <f t="shared" si="7"/>
        <v>55</v>
      </c>
      <c r="Z14" s="197">
        <f t="shared" si="7"/>
        <v>363</v>
      </c>
      <c r="AA14" s="197">
        <f t="shared" si="7"/>
        <v>370</v>
      </c>
      <c r="AB14" s="197">
        <f t="shared" si="7"/>
        <v>48</v>
      </c>
      <c r="AC14" s="197">
        <f t="shared" si="7"/>
        <v>0</v>
      </c>
      <c r="AD14" s="197">
        <f t="shared" si="7"/>
        <v>0</v>
      </c>
      <c r="AE14" s="197">
        <f t="shared" si="7"/>
        <v>0</v>
      </c>
      <c r="AF14" s="197">
        <f>SUBTOTAL(9,AF9:AF13)</f>
        <v>0</v>
      </c>
      <c r="AG14" s="197">
        <f t="shared" ref="AG14:AT14" si="8">SUBTOTAL(9,AG8:AG13)</f>
        <v>60</v>
      </c>
      <c r="AH14" s="197">
        <f t="shared" si="8"/>
        <v>489</v>
      </c>
      <c r="AI14" s="197">
        <f t="shared" si="8"/>
        <v>498</v>
      </c>
      <c r="AJ14" s="197">
        <f t="shared" si="8"/>
        <v>55</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1414</v>
      </c>
      <c r="AZ14" s="197">
        <f>SUBTOTAL(9,AZ8:AZ13)</f>
        <v>3465</v>
      </c>
      <c r="BA14" s="197">
        <f>SUBTOTAL(9,BA8:BA13)</f>
        <v>3569</v>
      </c>
      <c r="BB14" s="197">
        <f>SUBTOTAL(9,BB8:BB13)</f>
        <v>1310</v>
      </c>
      <c r="BC14" s="197">
        <f>SUBTOTAL(9,BC8:BC13)</f>
        <v>1421</v>
      </c>
      <c r="BD14" s="219">
        <f>IF(ISNUMBER(BA14/AZ14),BA14/AZ14," - ")</f>
        <v>1.03001443001443</v>
      </c>
      <c r="BE14" s="220">
        <f>IF(ISNUMBER(BB14/BA14),BB14/BA14, " - ")</f>
        <v>0.36704959372373214</v>
      </c>
      <c r="BF14" s="220">
        <f>IF(ISNUMBER(BC14/BA14),BC14/BA14, " - ")</f>
        <v>0.39815074250490334</v>
      </c>
      <c r="BG14" s="221">
        <f>IF(ISNUMBER((AY14+AZ14)/BA14),(AY14+AZ14)/BA14," - ")</f>
        <v>1.3670495937237321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604</v>
      </c>
      <c r="J17" s="196">
        <v>3925</v>
      </c>
      <c r="K17" s="196">
        <v>3904</v>
      </c>
      <c r="L17" s="196">
        <v>655</v>
      </c>
      <c r="M17" s="196">
        <v>349</v>
      </c>
      <c r="N17" s="196">
        <v>2666</v>
      </c>
      <c r="O17" s="194">
        <v>44</v>
      </c>
      <c r="P17" s="196">
        <v>95</v>
      </c>
      <c r="Q17" s="196">
        <v>95</v>
      </c>
      <c r="R17" s="196">
        <v>138</v>
      </c>
      <c r="S17" s="196">
        <v>722</v>
      </c>
      <c r="T17" s="196">
        <v>3449</v>
      </c>
      <c r="U17" s="196">
        <v>3616</v>
      </c>
      <c r="V17" s="196">
        <v>604</v>
      </c>
      <c r="W17" s="196">
        <v>363</v>
      </c>
      <c r="X17" s="202">
        <v>2506</v>
      </c>
      <c r="Y17" s="215">
        <v>0</v>
      </c>
      <c r="Z17" s="196">
        <v>0</v>
      </c>
      <c r="AA17" s="196">
        <v>0</v>
      </c>
      <c r="AB17" s="196">
        <v>0</v>
      </c>
      <c r="AC17" s="196">
        <v>1</v>
      </c>
      <c r="AD17" s="196">
        <v>198</v>
      </c>
      <c r="AE17" s="196">
        <v>199</v>
      </c>
      <c r="AF17" s="202">
        <v>0</v>
      </c>
      <c r="AG17" s="215">
        <v>0</v>
      </c>
      <c r="AH17" s="196">
        <v>0</v>
      </c>
      <c r="AI17" s="196">
        <v>0</v>
      </c>
      <c r="AJ17" s="216">
        <v>0</v>
      </c>
      <c r="AK17" s="195">
        <v>6</v>
      </c>
      <c r="AL17" s="196">
        <v>203</v>
      </c>
      <c r="AM17" s="196">
        <v>208</v>
      </c>
      <c r="AN17" s="202">
        <v>1</v>
      </c>
      <c r="AO17" s="283">
        <v>5</v>
      </c>
      <c r="AP17" s="168">
        <v>5</v>
      </c>
      <c r="AQ17" s="168">
        <v>5</v>
      </c>
      <c r="AR17" s="168">
        <v>5</v>
      </c>
      <c r="AS17" s="381" t="s">
        <v>650</v>
      </c>
      <c r="AT17" s="216"/>
      <c r="AU17" s="215"/>
      <c r="AV17" s="216"/>
      <c r="AW17" s="215"/>
      <c r="AX17" s="216"/>
      <c r="AY17" s="136">
        <f t="shared" si="10"/>
        <v>722</v>
      </c>
      <c r="AZ17" s="137">
        <f t="shared" si="10"/>
        <v>3449</v>
      </c>
      <c r="BA17" s="137">
        <f t="shared" si="10"/>
        <v>3616</v>
      </c>
      <c r="BB17" s="137">
        <f t="shared" si="10"/>
        <v>604</v>
      </c>
      <c r="BC17" s="135">
        <f>IF(ISNUMBER(W17),W17," - ")</f>
        <v>363</v>
      </c>
      <c r="BD17" s="136">
        <f t="shared" ref="BD17:BD22" si="12">IF(ISNUMBER(BA17/AZ17),BA17/AZ17," - ")</f>
        <v>1.0484198318353146</v>
      </c>
      <c r="BE17" s="137">
        <f t="shared" ref="BE17:BE22" si="13">IF(ISNUMBER(BB17/BA17),BB17/BA17, " - ")</f>
        <v>0.16703539823008851</v>
      </c>
      <c r="BF17" s="137">
        <f t="shared" ref="BF17:BF22" si="14">IF(ISNUMBER(BC17/BA17),BC17/BA17, " - ")</f>
        <v>0.10038716814159292</v>
      </c>
      <c r="BG17" s="209">
        <f t="shared" si="11"/>
        <v>1.1534845132743363</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229</v>
      </c>
      <c r="K18" s="196">
        <v>227</v>
      </c>
      <c r="L18" s="196">
        <v>35</v>
      </c>
      <c r="M18" s="196">
        <v>48</v>
      </c>
      <c r="N18" s="196">
        <v>110</v>
      </c>
      <c r="O18" s="196">
        <v>0</v>
      </c>
      <c r="P18" s="196">
        <v>1</v>
      </c>
      <c r="Q18" s="196">
        <v>2</v>
      </c>
      <c r="R18" s="196">
        <v>0</v>
      </c>
      <c r="S18" s="196">
        <v>35</v>
      </c>
      <c r="T18" s="196">
        <v>225</v>
      </c>
      <c r="U18" s="196">
        <v>227</v>
      </c>
      <c r="V18" s="196">
        <v>33</v>
      </c>
      <c r="W18" s="196">
        <v>45</v>
      </c>
      <c r="X18" s="202">
        <v>126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225</v>
      </c>
      <c r="BA18" s="139">
        <f t="shared" si="15"/>
        <v>227</v>
      </c>
      <c r="BB18" s="139">
        <f t="shared" si="15"/>
        <v>33</v>
      </c>
      <c r="BC18" s="135">
        <f>IF(ISNUMBER(W18),W18," - ")</f>
        <v>45</v>
      </c>
      <c r="BD18" s="136">
        <f>IF(ISNUMBER(BA18/AZ18),BA18/AZ18," - ")</f>
        <v>1.0088888888888889</v>
      </c>
      <c r="BE18" s="137">
        <f>IF(ISNUMBER(BB18/BA18),BB18/BA18, " - ")</f>
        <v>0.14537444933920704</v>
      </c>
      <c r="BF18" s="137">
        <f>IF(ISNUMBER(BC18/BA18),BC18/BA18, " - ")</f>
        <v>0.19823788546255505</v>
      </c>
      <c r="BG18" s="209">
        <f>IF(ISNUMBER((AY18+AZ18)/BA18),(AY18+AZ18)/BA18," - ")</f>
        <v>1.1453744493392071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637</v>
      </c>
      <c r="J23" s="197">
        <f t="shared" si="21"/>
        <v>4154</v>
      </c>
      <c r="K23" s="197">
        <f t="shared" si="21"/>
        <v>4131</v>
      </c>
      <c r="L23" s="197">
        <f t="shared" si="21"/>
        <v>690</v>
      </c>
      <c r="M23" s="197">
        <f t="shared" si="21"/>
        <v>397</v>
      </c>
      <c r="N23" s="197">
        <f t="shared" si="21"/>
        <v>2776</v>
      </c>
      <c r="O23" s="197">
        <f t="shared" si="21"/>
        <v>44</v>
      </c>
      <c r="P23" s="197">
        <f t="shared" si="21"/>
        <v>96</v>
      </c>
      <c r="Q23" s="197">
        <f t="shared" si="21"/>
        <v>97</v>
      </c>
      <c r="R23" s="197">
        <f t="shared" si="21"/>
        <v>138</v>
      </c>
      <c r="S23" s="197">
        <f t="shared" si="21"/>
        <v>757</v>
      </c>
      <c r="T23" s="197">
        <f t="shared" si="21"/>
        <v>3674</v>
      </c>
      <c r="U23" s="197">
        <f t="shared" si="21"/>
        <v>3843</v>
      </c>
      <c r="V23" s="197">
        <f t="shared" si="21"/>
        <v>637</v>
      </c>
      <c r="W23" s="197">
        <f t="shared" si="21"/>
        <v>408</v>
      </c>
      <c r="X23" s="197">
        <f t="shared" si="21"/>
        <v>2632</v>
      </c>
      <c r="Y23" s="197">
        <f t="shared" si="21"/>
        <v>0</v>
      </c>
      <c r="Z23" s="197">
        <f t="shared" si="21"/>
        <v>0</v>
      </c>
      <c r="AA23" s="197">
        <f t="shared" si="21"/>
        <v>0</v>
      </c>
      <c r="AB23" s="197">
        <f t="shared" si="21"/>
        <v>0</v>
      </c>
      <c r="AC23" s="197">
        <f t="shared" si="21"/>
        <v>1</v>
      </c>
      <c r="AD23" s="197">
        <f t="shared" si="21"/>
        <v>198</v>
      </c>
      <c r="AE23" s="197">
        <f t="shared" si="21"/>
        <v>199</v>
      </c>
      <c r="AF23" s="197">
        <f t="shared" si="21"/>
        <v>0</v>
      </c>
      <c r="AG23" s="197">
        <f t="shared" si="21"/>
        <v>0</v>
      </c>
      <c r="AH23" s="197">
        <f t="shared" si="21"/>
        <v>0</v>
      </c>
      <c r="AI23" s="197">
        <f t="shared" si="21"/>
        <v>0</v>
      </c>
      <c r="AJ23" s="197">
        <f t="shared" si="21"/>
        <v>0</v>
      </c>
      <c r="AK23" s="197">
        <f t="shared" si="21"/>
        <v>6</v>
      </c>
      <c r="AL23" s="197">
        <f t="shared" si="21"/>
        <v>203</v>
      </c>
      <c r="AM23" s="197">
        <f t="shared" si="21"/>
        <v>208</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757</v>
      </c>
      <c r="AZ23" s="197">
        <f>SUBTOTAL(9,AZ15:AZ22)</f>
        <v>3674</v>
      </c>
      <c r="BA23" s="197">
        <f>SUBTOTAL(9,BA15:BA22)</f>
        <v>3843</v>
      </c>
      <c r="BB23" s="197">
        <f>SUBTOTAL(9,BB15:BB22)</f>
        <v>637</v>
      </c>
      <c r="BC23" s="197">
        <f>SUBTOTAL(9,BC15:BC22)</f>
        <v>408</v>
      </c>
      <c r="BD23" s="219">
        <f>IF(ISNUMBER(BA23/AZ23),BA23/AZ23," - ")</f>
        <v>1.0459989112683723</v>
      </c>
      <c r="BE23" s="220">
        <f>IF(ISNUMBER(BB23/BA23),BB23/BA23, " - ")</f>
        <v>0.16575591985428051</v>
      </c>
      <c r="BF23" s="220">
        <f>IF(ISNUMBER(BC23/BA23),BC23/BA23, " - ")</f>
        <v>0.10616705698672912</v>
      </c>
      <c r="BG23" s="221">
        <f>IF(ISNUMBER((AY23+AZ23)/BA23),(AY23+AZ23)/BA23," - ")</f>
        <v>1.1530054644808743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1892</v>
      </c>
      <c r="J31" s="144">
        <f t="shared" si="36"/>
        <v>7319</v>
      </c>
      <c r="K31" s="144">
        <f t="shared" si="36"/>
        <v>7141</v>
      </c>
      <c r="L31" s="144">
        <f t="shared" si="36"/>
        <v>2100</v>
      </c>
      <c r="M31" s="144">
        <f t="shared" si="36"/>
        <v>1186</v>
      </c>
      <c r="N31" s="144">
        <f t="shared" si="36"/>
        <v>4077</v>
      </c>
      <c r="O31" s="144">
        <f t="shared" si="36"/>
        <v>1660</v>
      </c>
      <c r="P31" s="144">
        <f t="shared" si="36"/>
        <v>1060</v>
      </c>
      <c r="Q31" s="144">
        <f t="shared" si="36"/>
        <v>1290</v>
      </c>
      <c r="R31" s="144">
        <f t="shared" si="36"/>
        <v>2889</v>
      </c>
      <c r="S31" s="144">
        <f t="shared" si="36"/>
        <v>2111</v>
      </c>
      <c r="T31" s="144">
        <f t="shared" si="36"/>
        <v>6650</v>
      </c>
      <c r="U31" s="144">
        <f t="shared" si="36"/>
        <v>6914</v>
      </c>
      <c r="V31" s="144">
        <f t="shared" si="36"/>
        <v>1892</v>
      </c>
      <c r="W31" s="144">
        <f t="shared" si="36"/>
        <v>1385</v>
      </c>
      <c r="X31" s="144">
        <f t="shared" si="36"/>
        <v>4049</v>
      </c>
      <c r="Y31" s="144">
        <f t="shared" si="36"/>
        <v>55</v>
      </c>
      <c r="Z31" s="144">
        <f t="shared" si="36"/>
        <v>363</v>
      </c>
      <c r="AA31" s="144">
        <f t="shared" si="36"/>
        <v>370</v>
      </c>
      <c r="AB31" s="144">
        <f t="shared" si="36"/>
        <v>48</v>
      </c>
      <c r="AC31" s="144">
        <f t="shared" si="36"/>
        <v>1</v>
      </c>
      <c r="AD31" s="144">
        <f t="shared" si="36"/>
        <v>198</v>
      </c>
      <c r="AE31" s="144">
        <f t="shared" si="36"/>
        <v>199</v>
      </c>
      <c r="AF31" s="144">
        <f t="shared" si="36"/>
        <v>0</v>
      </c>
      <c r="AG31" s="144">
        <f t="shared" si="36"/>
        <v>60</v>
      </c>
      <c r="AH31" s="144">
        <f t="shared" si="36"/>
        <v>489</v>
      </c>
      <c r="AI31" s="144">
        <f t="shared" si="36"/>
        <v>498</v>
      </c>
      <c r="AJ31" s="144">
        <f t="shared" si="36"/>
        <v>55</v>
      </c>
      <c r="AK31" s="144">
        <f t="shared" si="36"/>
        <v>6</v>
      </c>
      <c r="AL31" s="144">
        <f t="shared" si="36"/>
        <v>203</v>
      </c>
      <c r="AM31" s="144">
        <f t="shared" si="36"/>
        <v>208</v>
      </c>
      <c r="AN31" s="224">
        <f t="shared" si="36"/>
        <v>1</v>
      </c>
      <c r="AO31" s="225">
        <v>6</v>
      </c>
      <c r="AP31" s="225">
        <v>5</v>
      </c>
      <c r="AQ31" s="225">
        <v>5</v>
      </c>
      <c r="AR31" s="225">
        <v>5</v>
      </c>
      <c r="AS31" s="166">
        <f t="shared" si="36"/>
        <v>0</v>
      </c>
      <c r="AT31" s="166">
        <f t="shared" si="36"/>
        <v>0</v>
      </c>
      <c r="AU31" s="225"/>
      <c r="AV31" s="226"/>
      <c r="AW31" s="225"/>
      <c r="AX31" s="226"/>
      <c r="AY31" s="143">
        <f>SUBTOTAL(9,AY9:AY30)</f>
        <v>2171</v>
      </c>
      <c r="AZ31" s="144">
        <f>SUBTOTAL(9,AZ9:AZ30)</f>
        <v>7139</v>
      </c>
      <c r="BA31" s="144">
        <f>SUBTOTAL(9,BA9:BA30)</f>
        <v>7412</v>
      </c>
      <c r="BB31" s="144">
        <f>SUBTOTAL(9,BB9:BB30)</f>
        <v>1947</v>
      </c>
      <c r="BC31" s="145">
        <f>SUBTOTAL(9,BC9:BC30)</f>
        <v>1829</v>
      </c>
      <c r="BD31" s="227">
        <f>IF(ISNUMBER(BA31/AZ31),BA31/AZ31," - ")</f>
        <v>1.0382406499509735</v>
      </c>
      <c r="BE31" s="224">
        <f>IF(ISNUMBER(BB31/BA31),BB31/BA31, " - ")</f>
        <v>0.26268213707501348</v>
      </c>
      <c r="BF31" s="224">
        <f>IF(ISNUMBER(BC31/BA31),BC31/BA31, " - ")</f>
        <v>0.24676200755531572</v>
      </c>
      <c r="BG31" s="145">
        <f>IF(ISNUMBER((AY31+AZ31)/BA31),(AY31+AZ31)/BA31," - ")</f>
        <v>1.2560712358337831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FxYvJzP1Pd4JSLw9fmfOoRcCwc5PCvvElkPRRWeR/HWEM99VVHHSfz0Q6yKtyTwrFuMtZCnDC6CiGBtzDGGEw==" saltValue="Xq7/mW7FCZbKfIOSFmWif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TQpZP72aKdLB0z6v9TQasixmtgvMrFryNBtrsXN7lvDdYD+b9ZQ5AEKdrXlRUzlNLsGIxg2/ZkZgbZ6zOSr5A==" saltValue="S59geTKzpWdh1oDQTxAx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HUESCA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v>
      </c>
      <c r="AC10" s="547">
        <f>IF(ISNUMBER(Datos!Q10),Datos!Q10," - ")</f>
        <v>7</v>
      </c>
      <c r="AD10" s="549"/>
      <c r="AE10" s="563"/>
      <c r="AF10" s="551">
        <f>IF(ISNUMBER(Datos!L10),Datos!L10,"-")</f>
        <v>31</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10</v>
      </c>
      <c r="BE10" s="693" t="str">
        <f>IF(ISNUMBER(Datos!BW10),Datos!BW10," - ")</f>
        <v xml:space="preserve"> - </v>
      </c>
      <c r="BF10" s="762" t="str">
        <f>IF(ISNUMBER(Datos!BX10),Datos!BX10," - ")</f>
        <v xml:space="preserve"> - </v>
      </c>
      <c r="BG10" s="763">
        <f>IF(ISNUMBER(Datos!K10/Datos!J10),Datos!K10/Datos!J10," - ")</f>
        <v>0.57692307692307687</v>
      </c>
      <c r="BH10" s="764">
        <f>IF(ISNUMBER(((Datos!L10/Datos!K10)*11)/factor_trimestre),((Datos!L10/Datos!K10)*11)/factor_trimestre," - ")</f>
        <v>11.366666666666667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-0.63636363636363635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363</v>
      </c>
      <c r="O12" s="549"/>
      <c r="P12" s="549"/>
      <c r="Q12" s="547">
        <f>IF(ISNUMBER(Datos!P12),Datos!P12,0)</f>
        <v>964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2747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773</v>
      </c>
      <c r="BD12" s="693">
        <f>IF(ISNUMBER(Datos!N12),Datos!N12," - ")</f>
        <v>1291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0.96375143843498279</v>
      </c>
      <c r="BH12" s="764">
        <f>IF(ISNUMBER(((IF(J_V="SI",Datos!L12/Datos!K12,(Datos!L12+Datos!AB12)/(Datos!K12+Datos!AA12)))*11)/factor_trimestre),((IF(J_V="SI",Datos!L12/Datos!K12,(Datos!L12+Datos!AB12)/(Datos!K12+Datos!AA12)))*11)/factor_trimestre," - ")</f>
        <v>4.6856716417910445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-7.4772650724149542E-2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363</v>
      </c>
      <c r="O14" s="1199">
        <f t="shared" si="1"/>
        <v>0</v>
      </c>
      <c r="P14" s="1199">
        <f t="shared" si="1"/>
        <v>0</v>
      </c>
      <c r="Q14" s="1198">
        <f t="shared" si="1"/>
        <v>964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v>
      </c>
      <c r="AC14" s="1198">
        <f t="shared" si="2"/>
        <v>1193</v>
      </c>
      <c r="AD14" s="1198">
        <f t="shared" si="2"/>
        <v>0</v>
      </c>
      <c r="AE14" s="1198">
        <f t="shared" si="2"/>
        <v>0</v>
      </c>
      <c r="AF14" s="1198">
        <f t="shared" si="2"/>
        <v>31</v>
      </c>
      <c r="AG14" s="1198">
        <f t="shared" si="2"/>
        <v>0</v>
      </c>
      <c r="AH14" s="1198">
        <f t="shared" si="2"/>
        <v>48</v>
      </c>
      <c r="AI14" s="1198">
        <f t="shared" si="2"/>
        <v>0</v>
      </c>
      <c r="AJ14" s="1198">
        <f t="shared" si="2"/>
        <v>0</v>
      </c>
      <c r="AK14" s="1198">
        <f t="shared" si="2"/>
        <v>0</v>
      </c>
      <c r="AL14" s="1198">
        <f t="shared" si="2"/>
        <v>0</v>
      </c>
      <c r="AM14" s="1198">
        <f t="shared" si="2"/>
        <v>2751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789</v>
      </c>
      <c r="BD14" s="1198">
        <f t="shared" si="2"/>
        <v>1301</v>
      </c>
      <c r="BE14" s="1198">
        <f t="shared" si="2"/>
        <v>0</v>
      </c>
      <c r="BF14" s="1198">
        <f t="shared" si="2"/>
        <v>0</v>
      </c>
      <c r="BG14" s="1198">
        <f>IF(ISNUMBER(Datos!K14/Datos!J14),Datos!K14/Datos!J14," - ")</f>
        <v>0.95102685624012639</v>
      </c>
      <c r="BH14" s="1202">
        <f>IF(ISNUMBER(((Datos!L14/Datos!K14)*11)/factor_trimestre),((Datos!L14/Datos!K14)*11)/factor_trimestre," - ")</f>
        <v>5.1528239202657806</v>
      </c>
      <c r="BI14" s="1198">
        <f>IF(ISNUMBER('Resol  Asuntos'!D14/NºAsuntos!G14),'Resol  Asuntos'!D14/NºAsuntos!G14," - ")</f>
        <v>0.2334319526627219</v>
      </c>
      <c r="BJ14" s="1198" t="str">
        <f>IF(ISNUMBER(Datos!CI14/Datos!CJ14),Datos!CI14/Datos!CJ14," - ")</f>
        <v xml:space="preserve"> - </v>
      </c>
      <c r="BK14" s="1198">
        <f>SUBTOTAL(9,BK8:BK13)</f>
        <v>0</v>
      </c>
      <c r="BL14" s="1198">
        <f>IF(ISNUMBER((I14-AB14+L14)/(F14)),(I14-AB14+L14)/(F14)," - ")</f>
        <v>-3.3333333333333335</v>
      </c>
      <c r="BM14" s="1203">
        <f>SUBTOTAL(9,BM9:BM13)</f>
        <v>-0.71113628708778587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634</v>
      </c>
      <c r="G17" s="743">
        <f>IF(ISNUMBER(IF(D_I="SI",Datos!I17,Datos!I17+Datos!AC17)),IF(D_I="SI",Datos!I17,Datos!I17+Datos!AC17)," - ")</f>
        <v>604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3904</v>
      </c>
      <c r="AC17" s="240">
        <f>IF(ISNUMBER(Datos!Q17),Datos!Q17," - ")</f>
        <v>95</v>
      </c>
      <c r="AD17" s="374"/>
      <c r="AE17" s="562"/>
      <c r="AF17" s="741">
        <f>IF(ISNUMBER(IF(D_I="SI",Datos!L17,Datos!L17+Datos!AF17)),IF(D_I="SI",Datos!L17,Datos!L17+Datos!AF17)," - ")</f>
        <v>655</v>
      </c>
      <c r="AG17" s="374"/>
      <c r="AH17" s="374"/>
      <c r="AI17" s="374"/>
      <c r="AJ17" s="549"/>
      <c r="AK17" s="374"/>
      <c r="AL17" s="545"/>
      <c r="AM17" s="375">
        <f>IF(ISNUMBER(Datos!R17),Datos!R17," - ")</f>
        <v>138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349</v>
      </c>
      <c r="BD17" s="243">
        <f>IF(ISNUMBER(Datos!N17),Datos!N17," - ")</f>
        <v>2666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0.9946496815286624</v>
      </c>
      <c r="BH17" s="764">
        <f>IF(ISNUMBER(((IF(D_I="SI",Datos!L17/Datos!K17,(Datos!L17+Datos!AF17)/(Datos!K17+Datos!AE17)))*11)/factor_trimestre),((IF(D_I="SI",Datos!L17/Datos!K17,(Datos!L17+Datos!AF17)/(Datos!K17+Datos!AE17)))*11)/factor_trimestre," - ")</f>
        <v>1.8455430327868851</v>
      </c>
      <c r="BI17" s="266">
        <f>IF(ISNUMBER('Resol  Asuntos'!D17/NºAsuntos!G17),'Resol  Asuntos'!D17/NºAsuntos!G17," - ")</f>
        <v>8.9395491803278687E-2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227</v>
      </c>
      <c r="AC18" s="547">
        <f>IF(ISNUMBER(Datos!Q18),Datos!Q18," - ")</f>
        <v>2</v>
      </c>
      <c r="AD18" s="549"/>
      <c r="AE18" s="562"/>
      <c r="AF18" s="551">
        <f>IF(ISNUMBER(Datos!L18),Datos!L18,"-")</f>
        <v>35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48</v>
      </c>
      <c r="BD18" s="693">
        <f>IF(ISNUMBER(Datos!N18),Datos!N18," - ")</f>
        <v>110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0.99126637554585151</v>
      </c>
      <c r="BH18" s="764">
        <f>IF(ISNUMBER(((IF(D_I="SI",Datos!L18/Datos!K18,(Datos!L18+Datos!AF18)/(Datos!K18+Datos!AE18)))*11)/factor_trimestre),((IF(D_I="SI",Datos!L18/Datos!K18,(Datos!L18+Datos!AF18)/(Datos!K18+Datos!AE18)))*11)/factor_trimestre," - ")</f>
        <v>1.696035242290749</v>
      </c>
      <c r="BI18" s="763">
        <f>IF(ISNUMBER('Resol  Asuntos'!D18/NºAsuntos!G18),'Resol  Asuntos'!D18/NºAsuntos!G18," - ")</f>
        <v>0.21145374449339208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634</v>
      </c>
      <c r="G23" s="1197">
        <f>SUBTOTAL(9,G16:G22)</f>
        <v>637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4131</v>
      </c>
      <c r="AC23" s="1198">
        <f t="shared" si="5"/>
        <v>97</v>
      </c>
      <c r="AD23" s="1198">
        <f t="shared" si="5"/>
        <v>0</v>
      </c>
      <c r="AE23" s="1198">
        <f t="shared" si="5"/>
        <v>0</v>
      </c>
      <c r="AF23" s="1198">
        <f t="shared" si="5"/>
        <v>690</v>
      </c>
      <c r="AG23" s="1198">
        <f t="shared" si="5"/>
        <v>0</v>
      </c>
      <c r="AH23" s="1198">
        <f t="shared" si="5"/>
        <v>0</v>
      </c>
      <c r="AI23" s="1198">
        <f t="shared" si="5"/>
        <v>0</v>
      </c>
      <c r="AJ23" s="1198">
        <f t="shared" si="5"/>
        <v>0</v>
      </c>
      <c r="AK23" s="1198">
        <f t="shared" si="5"/>
        <v>0</v>
      </c>
      <c r="AL23" s="1198">
        <f t="shared" si="5"/>
        <v>0</v>
      </c>
      <c r="AM23" s="1198">
        <f t="shared" si="5"/>
        <v>138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397</v>
      </c>
      <c r="BD23" s="1198">
        <f t="shared" si="5"/>
        <v>2776</v>
      </c>
      <c r="BE23" s="1198">
        <f t="shared" si="5"/>
        <v>0</v>
      </c>
      <c r="BF23" s="1198">
        <f t="shared" si="5"/>
        <v>0</v>
      </c>
      <c r="BG23" s="1198">
        <f>IF(ISNUMBER(Datos!K23/Datos!J23),Datos!K23/Datos!J23," - ")</f>
        <v>0.99446316803081369</v>
      </c>
      <c r="BH23" s="1202">
        <f>IF(ISNUMBER(((Datos!L23/Datos!K23)*11)/factor_trimestre),((Datos!L23/Datos!K23)*11)/factor_trimestre," - ")</f>
        <v>1.8373275236020334</v>
      </c>
      <c r="BI23" s="1198">
        <f>SUBTOTAL(9,BI16:BI22)</f>
        <v>0.30084923629667076</v>
      </c>
      <c r="BJ23" s="1198">
        <f>SUBTOTAL(9,BJ16:BJ22)</f>
        <v>0</v>
      </c>
      <c r="BK23" s="1198">
        <f>SUBTOTAL(9,BK16:BK22)</f>
        <v>0</v>
      </c>
      <c r="BL23" s="1198">
        <f>IF(ISNUMBER((I23-AB23+L23)/(F23)),(I23-AB23+L23)/(F23)," - ")</f>
        <v>-6.5157728706624605</v>
      </c>
      <c r="BM23" s="1205">
        <f>IF(ISNUMBER((Datos!P23-Datos!Q23)/(Datos!R23-Datos!P23+Datos!Q23)),(Datos!P23-Datos!Q23)/(Datos!R23-Datos!P23+Datos!Q23)," - ")</f>
        <v>-7.1942446043165471E-3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643</v>
      </c>
      <c r="G31" s="1117">
        <f t="shared" si="18"/>
        <v>646</v>
      </c>
      <c r="H31" s="1119">
        <f t="shared" si="18"/>
        <v>0</v>
      </c>
      <c r="I31" s="1117">
        <f t="shared" si="18"/>
        <v>0</v>
      </c>
      <c r="J31" s="1119">
        <f t="shared" si="18"/>
        <v>0</v>
      </c>
      <c r="K31" s="1119">
        <f t="shared" si="18"/>
        <v>0</v>
      </c>
      <c r="L31" s="1180">
        <f t="shared" si="18"/>
        <v>0</v>
      </c>
      <c r="M31" s="1180">
        <f t="shared" si="18"/>
        <v>0</v>
      </c>
      <c r="N31" s="1180">
        <f t="shared" si="18"/>
        <v>363</v>
      </c>
      <c r="O31" s="1180">
        <f t="shared" si="18"/>
        <v>0</v>
      </c>
      <c r="P31" s="1180">
        <f t="shared" si="18"/>
        <v>0</v>
      </c>
      <c r="Q31" s="1119">
        <f t="shared" si="18"/>
        <v>1060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4161</v>
      </c>
      <c r="AC31" s="1118">
        <f t="shared" si="19"/>
        <v>1290</v>
      </c>
      <c r="AD31" s="1118">
        <f t="shared" si="19"/>
        <v>0</v>
      </c>
      <c r="AE31" s="1118">
        <f t="shared" si="19"/>
        <v>0</v>
      </c>
      <c r="AF31" s="1125">
        <f t="shared" si="19"/>
        <v>721</v>
      </c>
      <c r="AG31" s="1125">
        <f t="shared" si="19"/>
        <v>0</v>
      </c>
      <c r="AH31" s="1125">
        <f t="shared" si="19"/>
        <v>48</v>
      </c>
      <c r="AI31" s="1125">
        <f t="shared" si="19"/>
        <v>0</v>
      </c>
      <c r="AJ31" s="1118">
        <f t="shared" si="19"/>
        <v>0</v>
      </c>
      <c r="AK31" s="1125">
        <f t="shared" si="19"/>
        <v>0</v>
      </c>
      <c r="AL31" s="1125">
        <f t="shared" si="19"/>
        <v>0</v>
      </c>
      <c r="AM31" s="1125">
        <f t="shared" si="19"/>
        <v>2889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1186</v>
      </c>
      <c r="BD31" s="1117">
        <f t="shared" si="19"/>
        <v>4077</v>
      </c>
      <c r="BE31" s="1117">
        <f t="shared" si="19"/>
        <v>0</v>
      </c>
      <c r="BF31" s="1127">
        <f t="shared" si="19"/>
        <v>0</v>
      </c>
      <c r="BG31" s="1223">
        <f>IF(ISNUMBER(Datos!K31/Datos!J31),Datos!K31/Datos!J31," - ")</f>
        <v>0.97567973766908045</v>
      </c>
      <c r="BH31" s="1223">
        <f>IF(ISNUMBER(((Datos!L31/Datos!K31)*11)/factor_trimestre),((Datos!L31/Datos!K31)*11)/factor_trimestre," - ")</f>
        <v>3.2348410586752556</v>
      </c>
      <c r="BI31" s="1103">
        <f>IF(ISNUMBER(Datos!J31/Datos!I31),Datos!J31/Datos!I31," - ")</f>
        <v>3.8683932346723044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-6.4712286158631418</v>
      </c>
      <c r="BM31" s="1188">
        <f>IF(ISNUMBER((Datos!P31-Datos!Q31+R31)/(Datos!R31-Datos!P31+Datos!Q31-R31)),(Datos!P31-Datos!Q31+R31)/(Datos!R31-Datos!P31+Datos!Q31-R31)," - ")</f>
        <v>-7.3741583840974678E-2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325.09731876265397</v>
      </c>
      <c r="G33" s="674">
        <f>IF(ISNUMBER(STDEV(G8:G30)),STDEV(G8:G30),"-")</f>
        <v>298.15256561189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1935.0295801848808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337.79156717884899</v>
      </c>
      <c r="BD33" s="673"/>
      <c r="BE33" s="673">
        <f>IF(ISNUMBER(STDEV(BE8:BE30)),STDEV(BE8:BE30),"-")</f>
        <v>0</v>
      </c>
      <c r="BF33" s="678">
        <f>IF(ISNUMBER(STDEV(BF8:BF30)),STDEV(BF8:BF30),"-")</f>
        <v>0</v>
      </c>
      <c r="BG33" s="1052">
        <f>IF(ISNUMBER(STDEV(BG8:BG30)),STDEV(BG8:BG30),"-")</f>
        <v>0.16516183119279168</v>
      </c>
      <c r="BH33" s="1058">
        <f>IF(ISNUMBER(STDEV(BH8:BH30)),STDEV(BH8:BH30),"-")</f>
        <v>3.7304454365684525</v>
      </c>
      <c r="BI33" s="273">
        <f>IF(ISNUMBER(STDEV(BI8:BI30)),STDEV(BI8:BI30),"-")</f>
        <v>8.821238144794788E-2</v>
      </c>
      <c r="BJ33" s="244" t="str">
        <f>IF(ISNUMBER(BL33/BM33),BL33/BM33," - ")</f>
        <v xml:space="preserve"> - </v>
      </c>
      <c r="BK33" s="709"/>
      <c r="BL33" s="681">
        <f>IF(ISNUMBER(STDEV(BL8:BL30)),STDEV(BL8:BL30),"-")</f>
        <v>2.2503245775616056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v6KaBO3UI7KxoPD0ccRb+1botr3tWSfoN/tyxstDiCrEtVz0/xu6x4fvZQQ0j0/FgAgebmf5cgKGdlrnP64m/g==" saltValue="sf4q8svMv2hsWZK2txPi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HUESCA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v>
      </c>
      <c r="Z10" s="805">
        <f>IF(ISNUMBER(Datos!Q10),Datos!Q10," - ")</f>
        <v>7</v>
      </c>
      <c r="AA10" s="551">
        <f>IF(ISNUMBER(Datos!L10),Datos!L10,"-")</f>
        <v>31</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16</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11.366666666666667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-0.63636363636363635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1186</v>
      </c>
      <c r="AA12" s="551" t="str">
        <f>IF(ISNUMBER(IF(J_V="SI",Datos!L12,Datos!L12+Datos!AB12)-IF(Monitorios="SI",Datos!CD12,0)),
                          IF(J_V="SI",Datos!L12,Datos!L12+Datos!AB12)-IF(Monitorios="SI",Datos!CD12,0),
                          " - ")</f>
        <v xml:space="preserve"> - </v>
      </c>
      <c r="AB12" s="549"/>
      <c r="AC12" s="549"/>
      <c r="AD12" s="563"/>
      <c r="AE12" s="563">
        <f>IF(ISNUMBER(Datos!R12),Datos!R12," - ")</f>
        <v>2747</v>
      </c>
      <c r="AF12" s="693" t="str">
        <f>IF(ISNUMBER(Datos!BV12),Datos!BV12," - ")</f>
        <v xml:space="preserve"> - </v>
      </c>
      <c r="AG12" s="552" t="str">
        <f>IF(ISNUMBER(Datos!DV12),Datos!DV12," - ")</f>
        <v xml:space="preserve"> - </v>
      </c>
      <c r="AH12" s="553"/>
      <c r="AI12" s="554"/>
      <c r="AJ12" s="552">
        <f>IF(ISNUMBER(Datos!M12),Datos!M12," - ")</f>
        <v>773</v>
      </c>
      <c r="AK12" s="693">
        <f>IF(ISNUMBER(Datos!N12),Datos!N12," - ")</f>
        <v>1291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4.6856716417910445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-7.4772650724149542E-2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964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v>
      </c>
      <c r="Z14" s="1210">
        <f t="shared" si="3"/>
        <v>1193</v>
      </c>
      <c r="AA14" s="1199">
        <f t="shared" si="3"/>
        <v>31</v>
      </c>
      <c r="AB14" s="1199">
        <f t="shared" si="3"/>
        <v>0</v>
      </c>
      <c r="AC14" s="1199">
        <f t="shared" si="3"/>
        <v>0</v>
      </c>
      <c r="AD14" s="1199">
        <f t="shared" si="3"/>
        <v>0</v>
      </c>
      <c r="AE14" s="1199">
        <f t="shared" si="3"/>
        <v>2751</v>
      </c>
      <c r="AF14" s="1211">
        <f t="shared" si="3"/>
        <v>0</v>
      </c>
      <c r="AG14" s="1211">
        <f t="shared" si="3"/>
        <v>0</v>
      </c>
      <c r="AH14" s="1211">
        <f t="shared" si="3"/>
        <v>0</v>
      </c>
      <c r="AI14" s="1211">
        <f t="shared" si="3"/>
        <v>0</v>
      </c>
      <c r="AJ14" s="1211">
        <f t="shared" si="3"/>
        <v>789</v>
      </c>
      <c r="AK14" s="1211">
        <f t="shared" si="3"/>
        <v>1301</v>
      </c>
      <c r="AL14" s="1211">
        <f t="shared" si="3"/>
        <v>0</v>
      </c>
      <c r="AM14" s="1211">
        <f t="shared" si="3"/>
        <v>0</v>
      </c>
      <c r="AN14" s="1211">
        <f t="shared" si="3"/>
        <v>0</v>
      </c>
      <c r="AO14" s="1203">
        <f>IF(ISNUMBER(((NºAsuntos!I14/NºAsuntos!G14)*11)/factor_trimestre),((NºAsuntos!I14/NºAsuntos!G14)*11)/factor_trimestre," - ")</f>
        <v>4.7449704142011839</v>
      </c>
      <c r="AP14" s="1213" t="str">
        <f>IF(ISNUMBER(Datos!CI14/Datos!CJ14),Datos!CI14/Datos!CJ14," - ")</f>
        <v xml:space="preserve"> - </v>
      </c>
      <c r="AQ14" s="1236">
        <f t="shared" ref="AQ14:AV14" si="4">SUBTOTAL(9,AQ9:AQ13)</f>
        <v>0</v>
      </c>
      <c r="AR14" s="1236">
        <f t="shared" si="4"/>
        <v>-0.71113628708778587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634</v>
      </c>
      <c r="G17" s="552">
        <f>IF(ISNUMBER(IF(D_I="SI",Datos!I17,Datos!I17+Datos!AC17)),IF(D_I="SI",Datos!I17,Datos!I17+Datos!AC17)," - ")</f>
        <v>604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3904</v>
      </c>
      <c r="Z17" s="805">
        <f>IF(ISNUMBER(Datos!Q17),Datos!Q17," - ")</f>
        <v>95</v>
      </c>
      <c r="AA17" s="551">
        <f>IF(ISNUMBER(IF(D_I="SI",Datos!L17,Datos!L17+Datos!AF17)),IF(D_I="SI",Datos!L17,Datos!L17+Datos!AF17)," - ")</f>
        <v>655</v>
      </c>
      <c r="AB17" s="549"/>
      <c r="AC17" s="549"/>
      <c r="AD17" s="563"/>
      <c r="AE17" s="563">
        <f>IF(ISNUMBER(Datos!R17),Datos!R17," - ")</f>
        <v>138</v>
      </c>
      <c r="AF17" s="693" t="str">
        <f>IF(ISNUMBER(Datos!BV17),Datos!BV17," - ")</f>
        <v xml:space="preserve"> - </v>
      </c>
      <c r="AG17" s="552"/>
      <c r="AH17" s="553"/>
      <c r="AI17" s="554"/>
      <c r="AJ17" s="552">
        <f>IF(ISNUMBER(Datos!M17),Datos!M17," - ")</f>
        <v>349</v>
      </c>
      <c r="AK17" s="693">
        <f>IF(ISNUMBER(Datos!N17),Datos!N17," - ")</f>
        <v>2666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1.8455430327868851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227</v>
      </c>
      <c r="Z18" s="805">
        <f>IF(ISNUMBER(Datos!Q18),Datos!Q18," - ")</f>
        <v>2</v>
      </c>
      <c r="AA18" s="551">
        <f>IF(ISNUMBER(Datos!L18),Datos!L18,"-")</f>
        <v>35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48</v>
      </c>
      <c r="AK18" s="693">
        <f>IF(ISNUMBER(Datos!N18),Datos!N18," - ")</f>
        <v>110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1.696035242290749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634</v>
      </c>
      <c r="G23" s="1197">
        <f>SUBTOTAL(9,G16:G22)</f>
        <v>637</v>
      </c>
      <c r="H23" s="1240">
        <f>SUBTOTAL(9,H16:H22)</f>
        <v>0</v>
      </c>
      <c r="I23" s="1217">
        <f>SUBTOTAL(9,I16:I22)</f>
        <v>0</v>
      </c>
      <c r="J23" s="1164">
        <f>SUBTOTAL(9,J15:J22)</f>
        <v>0</v>
      </c>
      <c r="K23" s="1240">
        <f t="shared" ref="K23:S23" si="5">SUBTOTAL(9,K16:K22)</f>
        <v>0</v>
      </c>
      <c r="L23" s="1240">
        <f t="shared" si="5"/>
        <v>0</v>
      </c>
      <c r="M23" s="1240">
        <f t="shared" si="5"/>
        <v>0</v>
      </c>
      <c r="N23" s="1240">
        <f t="shared" si="5"/>
        <v>96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4131</v>
      </c>
      <c r="Z23" s="1240">
        <f t="shared" si="6"/>
        <v>97</v>
      </c>
      <c r="AA23" s="1240">
        <f t="shared" si="6"/>
        <v>690</v>
      </c>
      <c r="AB23" s="1240">
        <f t="shared" si="6"/>
        <v>0</v>
      </c>
      <c r="AC23" s="1240">
        <f t="shared" si="6"/>
        <v>0</v>
      </c>
      <c r="AD23" s="1240">
        <f t="shared" si="6"/>
        <v>0</v>
      </c>
      <c r="AE23" s="1240">
        <f t="shared" si="6"/>
        <v>138</v>
      </c>
      <c r="AF23" s="1240">
        <f t="shared" si="6"/>
        <v>0</v>
      </c>
      <c r="AG23" s="1240">
        <f t="shared" si="6"/>
        <v>0</v>
      </c>
      <c r="AH23" s="1240">
        <f t="shared" si="6"/>
        <v>0</v>
      </c>
      <c r="AI23" s="1240">
        <f t="shared" si="6"/>
        <v>0</v>
      </c>
      <c r="AJ23" s="1240">
        <f t="shared" si="6"/>
        <v>397</v>
      </c>
      <c r="AK23" s="1240">
        <f t="shared" si="6"/>
        <v>2776</v>
      </c>
      <c r="AL23" s="1240">
        <f t="shared" si="6"/>
        <v>0</v>
      </c>
      <c r="AM23" s="1240">
        <f t="shared" si="6"/>
        <v>0</v>
      </c>
      <c r="AN23" s="1240">
        <f t="shared" si="6"/>
        <v>0</v>
      </c>
      <c r="AO23" s="1242">
        <f>IF(ISNUMBER(((NºAsuntos!I23/NºAsuntos!G23)*11)/factor_trimestre),((NºAsuntos!I23/NºAsuntos!G23)*11)/factor_trimestre," - ")</f>
        <v>1.8373275236020334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643</v>
      </c>
      <c r="G31" s="1117">
        <f t="shared" si="12"/>
        <v>646</v>
      </c>
      <c r="H31" s="1118">
        <f t="shared" si="12"/>
        <v>0</v>
      </c>
      <c r="I31" s="1117">
        <f t="shared" si="12"/>
        <v>0</v>
      </c>
      <c r="J31" s="1119">
        <f t="shared" si="12"/>
        <v>0</v>
      </c>
      <c r="K31" s="1117">
        <f t="shared" si="12"/>
        <v>0</v>
      </c>
      <c r="L31" s="1120">
        <f t="shared" si="12"/>
        <v>0</v>
      </c>
      <c r="M31" s="1117">
        <f t="shared" si="12"/>
        <v>0</v>
      </c>
      <c r="N31" s="1118">
        <f t="shared" si="12"/>
        <v>1060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4161</v>
      </c>
      <c r="Z31" s="1124">
        <f t="shared" si="13"/>
        <v>1290</v>
      </c>
      <c r="AA31" s="1125">
        <f t="shared" si="13"/>
        <v>721</v>
      </c>
      <c r="AB31" s="1125">
        <f t="shared" si="13"/>
        <v>0</v>
      </c>
      <c r="AC31" s="1125">
        <f t="shared" si="13"/>
        <v>0</v>
      </c>
      <c r="AD31" s="1126">
        <f t="shared" si="13"/>
        <v>0</v>
      </c>
      <c r="AE31" s="1126">
        <f t="shared" si="13"/>
        <v>2889</v>
      </c>
      <c r="AF31" s="1127">
        <f t="shared" si="13"/>
        <v>0</v>
      </c>
      <c r="AG31" s="1128">
        <f t="shared" si="13"/>
        <v>0</v>
      </c>
      <c r="AH31" s="1129">
        <f t="shared" si="13"/>
        <v>0</v>
      </c>
      <c r="AI31" s="1127">
        <f t="shared" si="13"/>
        <v>0</v>
      </c>
      <c r="AJ31" s="1117">
        <f t="shared" si="13"/>
        <v>1186</v>
      </c>
      <c r="AK31" s="1117">
        <f t="shared" si="13"/>
        <v>4077</v>
      </c>
      <c r="AL31" s="1117">
        <f t="shared" si="13"/>
        <v>0</v>
      </c>
      <c r="AM31" s="1130">
        <f t="shared" si="13"/>
        <v>0</v>
      </c>
      <c r="AN31" s="1120">
        <f>IF(ISNUMBER(Datos!K31/Datos!J31),Datos!K31/Datos!J31," - ")</f>
        <v>0.97567973766908045</v>
      </c>
      <c r="AO31" s="1120">
        <f>IF(ISNUMBER(FIND("06",Criterios!A8,1)),(IF(ISNUMBER(((Datos!R31/Datos!Q31)*11)/factor_trimestre),((Datos!R31/Datos!Q31)*11)/factor_trimestre," - ")),(IF(ISNUMBER(((Datos!L31/Datos!K31)*11)/factor_trimestre),((Datos!L31/Datos!K31)*11)/factor_trimestre," - ")))</f>
        <v>3.2348410586752556</v>
      </c>
      <c r="AP31" s="1131" t="str">
        <f>IF(ISNUMBER(Datos!CI31/Datos!CJ31),Datos!CI31/Datos!CJ31," - ")</f>
        <v xml:space="preserve"> - </v>
      </c>
      <c r="AQ31" s="1131">
        <f>IF(OR(ISNUMBER(FIND("01",Criterios!A8,1)),ISNUMBER(FIND("02",Criterios!A8,1)),ISNUMBER(FIND("03",Criterios!A8,1)),ISNUMBER(FIND("04",Criterios!A8,1))),(J31-Y31+K31)/(F31-K31),(I31-Y31+K31)/(F31-K31))</f>
        <v>-6.4712286158631418</v>
      </c>
      <c r="AR31" s="1131">
        <f>IF(ISNUMBER((Datos!P31-Datos!Q31+O31)/(Datos!R31-Datos!P31+Datos!Q31-O31)),(Datos!P31-Datos!Q31+O31)/(Datos!R31-Datos!P31+Datos!Q31-O31)," - ")</f>
        <v>-7.3741583840974678E-2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325.09731876265397</v>
      </c>
      <c r="G33" s="674">
        <f>IF(ISNUMBER(STDEV(G8:G30)),STDEV(G8:G30),"-")</f>
        <v>298.15256561189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337.79156717884899</v>
      </c>
      <c r="AK33" s="276"/>
      <c r="AL33" s="276">
        <f>IF(ISNUMBER(STDEV(AL8:AL30)),STDEV(AL8:AL30),"-")</f>
        <v>0</v>
      </c>
      <c r="AM33" s="278">
        <f>IF(ISNUMBER(STDEV(AM8:AM30)),STDEV(AM8:AM30),"-")</f>
        <v>0</v>
      </c>
      <c r="AN33" s="660">
        <f>IF(ISNUMBER(STDEV(AN8:AN30)),STDEV(AN8:AN30),"-")</f>
        <v>0</v>
      </c>
      <c r="AO33" s="661">
        <f>IF(ISNUMBER(STDEV(AO8:AO30)),STDEV(AO8:AO30),"-")</f>
        <v>3.7183511585342188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7fLqs3sG4y+exs45lLK/0qA/z/t00CcxXFXXgPovvxyfhmx/X7ueh1mpXCkwt/auwNhnRd+XvMV4u455TIKsNA==" saltValue="Scx64kVYlETBKGiWVSYn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gWTsnB7/S6mMWmR9b7+wlZEi3P7JTe79W5849eDoawo7v9yKzhDkLU1DZLhr5DehXLi4jGMYowWmqNWndjntw==" saltValue="yeAKTNM9LtfpUul+EbDp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VKJfoG3/J1F2MFQfIOEUbEDyrJqBhYTtcA9dejI0JNfvYQzL77wE7ORgm1v5J/Upnx8EtX7Z41d6Hi/QpBYLg==" saltValue="bWXlORO2ILSLjKw3Yx6as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HUESCA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0.2334319526627219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0.16506131667342783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1nH3PxgcKAFpyhWHWy4CZbbHwBjIj09xKYm/S97RekLK7cR+p+dcLIf8MnvrCn30F8M/CYO1iWFzfg2Phyak+A==" saltValue="cY2sYbwA459mDE408zw91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CnLLsA+ZtGa60TYqy5zNupesteQEt2gymwavQx8C32IUxkYMHTHsFjJiMgQm7VVH4kgt5GxS74RzGX5WTxRxA==" saltValue="Nc5cgtFNc2cSMhj5ihs7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HUESCA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52</v>
      </c>
      <c r="F10" s="452">
        <f>IF(ISNUMBER(E10/B10),E10/B10," - ")</f>
        <v>52</v>
      </c>
      <c r="G10" s="451">
        <f>IF(ISNUMBER(Datos!K10),Datos!K10," - ")</f>
        <v>30</v>
      </c>
      <c r="H10" s="452">
        <f>IF(ISNUMBER(G10/B10),G10/B10," - ")</f>
        <v>30</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1301</v>
      </c>
      <c r="D12" s="452">
        <f>IF(ISNUMBER(C12/Datos!BH12),C12/Datos!BH12," - ")</f>
        <v>260.2</v>
      </c>
      <c r="E12" s="451">
        <f>IF(ISNUMBER(IF(J_V="SI",Datos!J12,Datos!J12+Datos!Z12)),IF(J_V="SI",Datos!J12,Datos!J12+Datos!Z12)," - ")</f>
        <v>3476</v>
      </c>
      <c r="F12" s="452">
        <f>IF(ISNUMBER(E12/B12),E12/B12," - ")</f>
        <v>695.2</v>
      </c>
      <c r="G12" s="451">
        <f>IF(ISNUMBER(IF(J_V="SI",Datos!K12,Datos!K12+Datos!AA12)),IF(J_V="SI",Datos!K12,Datos!K12+Datos!AA12)," - ")</f>
        <v>3350</v>
      </c>
      <c r="H12" s="452">
        <f>IF(ISNUMBER(G12/B12),G12/B12," - ")</f>
        <v>670</v>
      </c>
      <c r="I12" s="451">
        <f>IF(ISNUMBER(IF(J_V="SI",Datos!L12,Datos!L12+Datos!AB12)),IF(J_V="SI",Datos!L12,Datos!L12+Datos!AB12)," - ")</f>
        <v>1427</v>
      </c>
      <c r="J12" s="452">
        <f>IF(ISNUMBER(I12/B12),I12/B12," - ")</f>
        <v>285.39999999999998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1310</v>
      </c>
      <c r="D14" s="1147" t="str">
        <f>IF(ISNUMBER(C14/Datos!BI14),C14/Datos!BI14," - ")</f>
        <v xml:space="preserve"> - </v>
      </c>
      <c r="E14" s="1146">
        <f>SUBTOTAL(9,E8:E13)</f>
        <v>3528</v>
      </c>
      <c r="F14" s="1147">
        <f>IF(ISNUMBER(E14/B14),E14/B14," - ")</f>
        <v>705.6</v>
      </c>
      <c r="G14" s="1146">
        <f>SUBTOTAL(9,G8:G13)</f>
        <v>3380</v>
      </c>
      <c r="H14" s="1147">
        <f>IF(ISNUMBER(G14/B14),G14/B14," - ")</f>
        <v>676</v>
      </c>
      <c r="I14" s="1146">
        <f>SUBTOTAL(9,I8:I13)</f>
        <v>1458</v>
      </c>
      <c r="J14" s="1147">
        <f>IF(ISNUMBER(I14/B14),I14/B14," - ")</f>
        <v>291.60000000000002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604</v>
      </c>
      <c r="D17" s="452">
        <f>IF(ISNUMBER(C17/Datos!BH17),C17/Datos!BH17," - ")</f>
        <v>120.8</v>
      </c>
      <c r="E17" s="451">
        <f>IF(ISNUMBER(IF(D_I="SI",Datos!J17,Datos!J17+Datos!AD17)),IF(D_I="SI",Datos!J17,Datos!J17+Datos!AD17)," - ")</f>
        <v>3925</v>
      </c>
      <c r="F17" s="452">
        <f>IF(ISNUMBER(E17/B17),E17/B17," - ")</f>
        <v>785</v>
      </c>
      <c r="G17" s="451">
        <f>IF(ISNUMBER(IF(D_I="SI",Datos!K17,Datos!K17+Datos!AE17)),IF(D_I="SI",Datos!K17,Datos!K17+Datos!AE17)," - ")</f>
        <v>3904</v>
      </c>
      <c r="H17" s="452">
        <f>IF(ISNUMBER(G17/B17),G17/B17," - ")</f>
        <v>780.8</v>
      </c>
      <c r="I17" s="451">
        <f>IF(ISNUMBER(IF(D_I="SI",Datos!L17,Datos!L17+Datos!AF17)),IF(D_I="SI",Datos!L17,Datos!L17+Datos!AF17)," - ")</f>
        <v>655</v>
      </c>
      <c r="J17" s="452">
        <f>IF(ISNUMBER(I17/B17),I17/B17," - ")</f>
        <v>131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229</v>
      </c>
      <c r="F18" s="452">
        <f>IF(ISNUMBER(E18/B18),E18/B18," - ")</f>
        <v>229</v>
      </c>
      <c r="G18" s="451">
        <f>IF(ISNUMBER(IF(D_I="SI",Datos!K18,Datos!K18+Datos!AE18)),IF(D_I="SI",Datos!K18,Datos!K18+Datos!AE18)," - ")</f>
        <v>227</v>
      </c>
      <c r="H18" s="452">
        <f>IF(ISNUMBER(G18/B18),G18/B18," - ")</f>
        <v>227</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637</v>
      </c>
      <c r="D23" s="1147" t="str">
        <f>IF(ISNUMBER(C23/Datos!BI23),C23/Datos!BI23," - ")</f>
        <v xml:space="preserve"> - </v>
      </c>
      <c r="E23" s="1146">
        <f>SUBTOTAL(9,E15:E22)</f>
        <v>4154</v>
      </c>
      <c r="F23" s="1147">
        <f>IF(ISNUMBER(E23/B23),E23/B23," - ")</f>
        <v>830.8</v>
      </c>
      <c r="G23" s="1146">
        <f>SUBTOTAL(9,G15:G22)</f>
        <v>4131</v>
      </c>
      <c r="H23" s="1147">
        <f>IF(ISNUMBER(G23/B23),G23/B23," - ")</f>
        <v>826.2</v>
      </c>
      <c r="I23" s="1146">
        <f>SUBTOTAL(9,I15:I22)</f>
        <v>690</v>
      </c>
      <c r="J23" s="1147">
        <f>IF(ISNUMBER(I23/B23),I23/B23," - ")</f>
        <v>138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1947</v>
      </c>
      <c r="D31" s="1085" t="str">
        <f>IF(ISNUMBER(C31/Datos!BI31),C31/Datos!BI31," - ")</f>
        <v xml:space="preserve"> - </v>
      </c>
      <c r="E31" s="1084">
        <f>SUBTOTAL(9,E9:E30)</f>
        <v>7682</v>
      </c>
      <c r="F31" s="1085">
        <f>IF(ISNUMBER(E31/B31),E31/B31," - ")</f>
        <v>1536.4</v>
      </c>
      <c r="G31" s="1084">
        <f>SUBTOTAL(9,G9:G30)</f>
        <v>7511</v>
      </c>
      <c r="H31" s="1085">
        <f>IF(ISNUMBER(G31/B31),G31/B31," - ")</f>
        <v>1502.2</v>
      </c>
      <c r="I31" s="1084">
        <f>SUBTOTAL(9,I9:I30)</f>
        <v>2148</v>
      </c>
      <c r="J31" s="1085">
        <f>IF(ISNUMBER(I31/B31),I31/B31," - ")</f>
        <v>429.6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Zrkb+Py6cTnnQ1uDYZJX+zUlxi/181uphw+lqR1JWmlClSQGOJLkCtNqWaVg4XhJPuHsIdvV7Bzad9UCf4dsYg==" saltValue="SMDSgKtUEeJ0jpfbkF1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HUESCA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11.366666666666667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773</v>
      </c>
      <c r="AM12" s="914">
        <f>IF(ISNUMBER(Datos!N12+DatosP!N17),Datos!N12+DatosP!N17," - ")</f>
        <v>1291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4.6856716417910445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-7.4772650724149542E-2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964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v>
      </c>
      <c r="AC14" s="1257">
        <f t="shared" si="1"/>
        <v>0</v>
      </c>
      <c r="AD14" s="1257">
        <f t="shared" si="1"/>
        <v>1186</v>
      </c>
      <c r="AE14" s="1257">
        <f t="shared" si="1"/>
        <v>0</v>
      </c>
      <c r="AF14" s="1257">
        <f t="shared" si="1"/>
        <v>31</v>
      </c>
      <c r="AG14" s="1257">
        <f t="shared" si="1"/>
        <v>0</v>
      </c>
      <c r="AH14" s="1257">
        <f t="shared" si="1"/>
        <v>2747</v>
      </c>
      <c r="AI14" s="1257">
        <f t="shared" si="1"/>
        <v>0</v>
      </c>
      <c r="AJ14" s="1257">
        <f t="shared" si="1"/>
        <v>0</v>
      </c>
      <c r="AK14" s="1257">
        <f t="shared" si="1"/>
        <v>0</v>
      </c>
      <c r="AL14" s="1257">
        <f t="shared" si="1"/>
        <v>789</v>
      </c>
      <c r="AM14" s="1257">
        <f t="shared" si="1"/>
        <v>1301</v>
      </c>
      <c r="AN14" s="1257">
        <f t="shared" si="1"/>
        <v>0</v>
      </c>
      <c r="AO14" s="1257">
        <f t="shared" si="1"/>
        <v>0</v>
      </c>
      <c r="AP14" s="1262">
        <f>IF(ISNUMBER(((Datos!L14/Datos!K14)*11)/factor_trimestre),((Datos!L14/Datos!K14)*11)/factor_trimestre," - ")</f>
        <v>5.1528239202657806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-3.3333333333333335</v>
      </c>
      <c r="AU14" s="1257" t="str">
        <f>IF(ISNUMBER((DatosP!#REF!-DatosP!#REF!+DatosP!#REF!)/(DatosP!#REF!+DatosP!#REF!-DatosP!#REF!-DatosP!#REF!)),(DatosP!#REF!-DatosP!#REF!+DatosP!#REF!)/(DatosP!#REF!+DatosP!#REF!-DatosP!#REF!-DatosP!#REF!)," - ")</f>
        <v xml:space="preserve"> - </v>
      </c>
      <c r="AV14" s="1263">
        <f>SUBTOTAL(9,AV9:AV13)</f>
        <v>-7.4772650724149542E-2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1.8373275236020334</v>
      </c>
      <c r="AQ23" s="1262">
        <f>IF(ISNUMBER(((Datos!M23/Datos!L23)*11)/factor_trimestre),((Datos!M23/Datos!L23)*11)/factor_trimestre," - ")</f>
        <v>6.3289855072463777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-7.1942446043165471E-3</v>
      </c>
      <c r="AW23" s="1265">
        <f>IF(ISNUMBER((Datos!Q23-Datos!R23)/(Datos!S23-Datos!Q23+Datos!R23)),(Datos!Q23-Datos!R23)/(Datos!S23-Datos!Q23+Datos!R23)," - ")</f>
        <v>-5.1378446115288218E-2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964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v>
      </c>
      <c r="AC31" s="1284">
        <f t="shared" si="9"/>
        <v>0</v>
      </c>
      <c r="AD31" s="1284">
        <f t="shared" si="9"/>
        <v>1186</v>
      </c>
      <c r="AE31" s="1284">
        <f t="shared" si="9"/>
        <v>0</v>
      </c>
      <c r="AF31" s="1285">
        <f t="shared" si="9"/>
        <v>31</v>
      </c>
      <c r="AG31" s="1285">
        <f t="shared" si="9"/>
        <v>0</v>
      </c>
      <c r="AH31" s="1285">
        <f t="shared" si="9"/>
        <v>2747</v>
      </c>
      <c r="AI31" s="1285">
        <f t="shared" si="9"/>
        <v>0</v>
      </c>
      <c r="AJ31" s="1286">
        <f t="shared" si="9"/>
        <v>0</v>
      </c>
      <c r="AK31" s="1286">
        <f t="shared" si="9"/>
        <v>0</v>
      </c>
      <c r="AL31" s="1278">
        <f t="shared" si="9"/>
        <v>789</v>
      </c>
      <c r="AM31" s="1278">
        <f t="shared" si="9"/>
        <v>1301</v>
      </c>
      <c r="AN31" s="1278">
        <f t="shared" si="9"/>
        <v>0</v>
      </c>
      <c r="AO31" s="1278">
        <f t="shared" si="9"/>
        <v>0</v>
      </c>
      <c r="AP31" s="1278">
        <f>IF(ISNUMBER(((Datos!L31/Datos!K31)*11)/factor_trimestre),((Datos!L31/Datos!K31)*11)/factor_trimestre," - ")</f>
        <v>3.2348410586752556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-3.3333333333333335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-7.3741583840974678E-2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401.32081929548582</v>
      </c>
      <c r="AM33" s="1006"/>
      <c r="AN33" s="1006">
        <f>IF(ISNUMBER(STDEV(AN8:AN30)),STDEV(AN8:AN30),"-")</f>
        <v>0</v>
      </c>
      <c r="AO33" s="1012">
        <f>IF(ISNUMBER(STDEV(AO8:AO30)),STDEV(AO8:AO30),"-")</f>
        <v>0</v>
      </c>
      <c r="AP33" s="1065">
        <f>IF(ISNUMBER(STDEV(AP8:AP30)),STDEV(AP8:AP30),"-")</f>
        <v>4.0143456557508808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xaKgil1KNGt0rVd5MM3ThXWU5iEy++gueoYF6LuZwMIVms4CUzy7S0Uzua22pOfVQmUXiRPrLwQsuUj5FGdnAw==" saltValue="QcjharGEPocjNEgeA7PO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HUESCA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Q++hNXmpM4Gdf+5lidFuh3L9Gut6KEqSBs66nYTpIVL+d7KZ1Uuq1DX6C9ol6DeXkszYtdJ5Xj7C5edGIPwlVg==" saltValue="EeA1Ooyk+P5E8YyNP+qE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HUESCA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10</v>
      </c>
      <c r="G10" s="452">
        <f>IF(ISNUMBER(F10/B10),F10/B10," - ")</f>
        <v>10</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773</v>
      </c>
      <c r="E12" s="452">
        <f t="shared" si="0"/>
        <v>154.6</v>
      </c>
      <c r="F12" s="451">
        <f>IF(ISNUMBER(Datos!N12),Datos!N12," - ")</f>
        <v>1291</v>
      </c>
      <c r="G12" s="452">
        <f t="shared" si="1"/>
        <v>258.2</v>
      </c>
      <c r="H12" s="451">
        <f>IF(ISNUMBER(Datos!O12),Datos!O12," - ")</f>
        <v>1613</v>
      </c>
      <c r="I12" s="452">
        <f t="shared" si="2"/>
        <v>322.60000000000002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789</v>
      </c>
      <c r="E14" s="1147">
        <f t="shared" si="0"/>
        <v>131.5</v>
      </c>
      <c r="F14" s="1146">
        <f>SUBTOTAL(9,F9:F13)</f>
        <v>1301</v>
      </c>
      <c r="G14" s="1147">
        <f t="shared" si="1"/>
        <v>216.83333333333334</v>
      </c>
      <c r="H14" s="1146">
        <f>SUBTOTAL(9,H9:H13)</f>
        <v>1616</v>
      </c>
      <c r="I14" s="1147">
        <f>IF(ISNUMBER(H14/B14),H14/B14," - ")</f>
        <v>269.33333333333331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349</v>
      </c>
      <c r="E17" s="452">
        <f t="shared" si="3"/>
        <v>69.8</v>
      </c>
      <c r="F17" s="451">
        <f>IF(ISNUMBER(Datos!N17),Datos!N17," - ")</f>
        <v>2666</v>
      </c>
      <c r="G17" s="452">
        <f t="shared" si="4"/>
        <v>533.20000000000005</v>
      </c>
      <c r="H17" s="451">
        <f>IF(ISNUMBER(Datos!O17),Datos!O17," - ")</f>
        <v>44</v>
      </c>
      <c r="I17" s="452">
        <f t="shared" si="5"/>
        <v>8.8000000000000007</v>
      </c>
    </row>
    <row r="18" spans="1:9">
      <c r="A18" s="450" t="str">
        <f>Datos!A18</f>
        <v>Jdos. Violencia contra la mujer</v>
      </c>
      <c r="B18" s="480">
        <f>Datos!AO18</f>
        <v>1</v>
      </c>
      <c r="C18" s="481">
        <f>Datos!AQ18</f>
        <v>0</v>
      </c>
      <c r="D18" s="451">
        <f>IF(ISNUMBER(Datos!M18),Datos!M18," - ")</f>
        <v>48</v>
      </c>
      <c r="E18" s="452">
        <f>IF(ISNUMBER(D18/B18),D18/B18," - ")</f>
        <v>48</v>
      </c>
      <c r="F18" s="451">
        <f>IF(ISNUMBER(Datos!N18),Datos!N18," - ")</f>
        <v>110</v>
      </c>
      <c r="G18" s="452">
        <f>IF(ISNUMBER(F18/B18),F18/B18," - ")</f>
        <v>110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397</v>
      </c>
      <c r="E23" s="1147">
        <f t="shared" si="3"/>
        <v>66.166666666666671</v>
      </c>
      <c r="F23" s="1146">
        <f>SUBTOTAL(9,F16:F22)</f>
        <v>2776</v>
      </c>
      <c r="G23" s="1147">
        <f t="shared" si="4"/>
        <v>462.66666666666669</v>
      </c>
      <c r="H23" s="1146">
        <f>SUBTOTAL(9,H16:H22)</f>
        <v>44</v>
      </c>
      <c r="I23" s="1147">
        <f>IF(ISNUMBER(H23/B23),H23/B23," - ")</f>
        <v>7.333333333333333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1186</v>
      </c>
      <c r="E31" s="1085">
        <f>IF(ISNUMBER(D31/B31),D31/B31," - ")</f>
        <v>237.2</v>
      </c>
      <c r="F31" s="1084">
        <f>SUBTOTAL(9,F8:F30)</f>
        <v>4077</v>
      </c>
      <c r="G31" s="1085">
        <f>IF(ISNUMBER(F31/B31),F31/B31," - ")</f>
        <v>815.4</v>
      </c>
      <c r="H31" s="1084">
        <f>SUBTOTAL(9,H8:H30)</f>
        <v>1660</v>
      </c>
      <c r="I31" s="1085">
        <f>IF(ISNUMBER(H31/B31),H31/B31," - ")</f>
        <v>332</v>
      </c>
    </row>
    <row r="34" spans="1:1">
      <c r="A34" s="439" t="str">
        <f>Criterios!A4</f>
        <v>Fecha Informe: 14 abr. 2023</v>
      </c>
    </row>
    <row r="39" spans="1:1">
      <c r="A39" s="462"/>
    </row>
  </sheetData>
  <sheetProtection algorithmName="SHA-512" hashValue="Z8TWCiOQmRAQYwPmcr//E4FDVxbVx09eVcJLhbHyB+EtPXzuR3Ni0JNUsdolKNlE+Oiwess578CQCUbsNUS2YA==" saltValue="S/CjDAA6y8ec8JrzFAFa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HUESCA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7</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964</v>
      </c>
      <c r="C12" s="489">
        <f>IF(ISNUMBER(Datos!Q12),Datos!Q12," - ")</f>
        <v>1186</v>
      </c>
      <c r="D12" s="456">
        <f>IF(ISNUMBER(Datos!R12),Datos!R12," - ")</f>
        <v>2747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964</v>
      </c>
      <c r="C14" s="1150">
        <f>SUBTOTAL(9,C9:C13)</f>
        <v>1193</v>
      </c>
      <c r="D14" s="1148">
        <f>SUBTOTAL(9,D9:D13)</f>
        <v>2751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95</v>
      </c>
      <c r="C17" s="489">
        <f>IF(ISNUMBER(Datos!Q17),Datos!Q17," - ")</f>
        <v>95</v>
      </c>
      <c r="D17" s="456">
        <f>IF(ISNUMBER(Datos!R17),Datos!R17," - ")</f>
        <v>138</v>
      </c>
    </row>
    <row r="18" spans="1:4">
      <c r="A18" s="450" t="str">
        <f>Datos!A18</f>
        <v>Jdos. Violencia contra la mujer</v>
      </c>
      <c r="B18" s="488">
        <f>IF(ISNUMBER(Datos!P18),Datos!P18," - ")</f>
        <v>1</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96</v>
      </c>
      <c r="C23" s="1150">
        <f>SUBTOTAL(9,C16:C22)</f>
        <v>97</v>
      </c>
      <c r="D23" s="1148">
        <f>SUBTOTAL(9,D16:D22)</f>
        <v>138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1060</v>
      </c>
      <c r="C31" s="1089">
        <f>SUBTOTAL(9,C8:C30)</f>
        <v>1290</v>
      </c>
      <c r="D31" s="1090">
        <f>SUBTOTAL(9,D8:D30)</f>
        <v>2889</v>
      </c>
    </row>
    <row r="32" spans="1:4" ht="7.5" customHeight="1"/>
    <row r="33" spans="1:1" ht="6" customHeight="1"/>
    <row r="34" spans="1:1">
      <c r="A34" s="439" t="str">
        <f>Criterios!A4</f>
        <v>Fecha Informe: 14 abr. 2023</v>
      </c>
    </row>
    <row r="39" spans="1:1">
      <c r="A39" s="462"/>
    </row>
  </sheetData>
  <sheetProtection algorithmName="SHA-512" hashValue="RO9GvCPc8MJAtZunmo5UGXl8GcC5CMtldXOJLId1XhhpRHnE2FJ0bVCz2TXe68gjTtfmzVkNsxIbTWuH40tRGQ==" saltValue="NLVyoAFqVACZDQqHyx2v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HUESCA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0.125</v>
      </c>
      <c r="C10" s="515">
        <f>IF(ISNUMBER((Datos!J10-Datos!T10)/Datos!T10),(Datos!J10-Datos!T10)/Datos!T10," - ")</f>
        <v>0.73333333333333328</v>
      </c>
      <c r="D10" s="515">
        <f>IF(ISNUMBER((Datos!K10-Datos!U10)/Datos!U10),(Datos!K10-Datos!U10)/Datos!U10," - ")</f>
        <v>3.4482758620689655E-2</v>
      </c>
      <c r="E10" s="515">
        <f>IF(ISNUMBER((Datos!L10-Datos!V10)/Datos!V10),(Datos!L10-Datos!V10)/Datos!V10," - ")</f>
        <v>2.4444444444444446</v>
      </c>
      <c r="F10" s="515">
        <f>IF(ISNUMBER((Datos!M10-Datos!W10)/Datos!W10),(Datos!M10-Datos!W10)/Datos!W10," - ")</f>
        <v>0.23076923076923078</v>
      </c>
      <c r="G10" s="516">
        <f>IF(ISNUMBER((Datos!N10-Datos!X10)/Datos!X10),(Datos!N10-Datos!X10)/Datos!X10," - ")</f>
        <v>0.1111111111111111</v>
      </c>
      <c r="H10" s="514">
        <f>IF(ISNUMBER(((NºAsuntos!G10/NºAsuntos!E10)-Datos!BD10)/Datos!BD10),((NºAsuntos!G10/NºAsuntos!E10)-Datos!BD10)/Datos!BD10," - ")</f>
        <v>-0.40318302387267912</v>
      </c>
      <c r="I10" s="515">
        <f>IF(ISNUMBER(((NºAsuntos!I10/NºAsuntos!G10)-Datos!BE10)/Datos!BE10),((NºAsuntos!I10/NºAsuntos!G10)-Datos!BE10)/Datos!BE10," - ")</f>
        <v>2.3296296296296299</v>
      </c>
      <c r="J10" s="521">
        <f>IF(ISNUMBER((('Resol  Asuntos'!D10/NºAsuntos!G10)-Datos!BF10)/Datos!BF10),(('Resol  Asuntos'!D10/NºAsuntos!G10)-Datos!BF10)/Datos!BF10," - ")</f>
        <v>0.18974358974358971</v>
      </c>
      <c r="K10" s="522">
        <f>IF(ISNUMBER((((NºAsuntos!C10+NºAsuntos!E10)/NºAsuntos!G10)-Datos!BG10)/Datos!BG10),(((NºAsuntos!C10+NºAsuntos!E10)/NºAsuntos!G10)-Datos!BG10)/Datos!BG10," - ")</f>
        <v>0.55175438596491222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-7.4679943100995738E-2</v>
      </c>
      <c r="C12" s="515">
        <f>IF(ISNUMBER(
   IF(J_V="SI",(Datos!J12-Datos!T12)/Datos!T12,(Datos!J12+Datos!Z12-(Datos!T12+Datos!AH12))/(Datos!T12+Datos!AH12))
     ),IF(J_V="SI",(Datos!J12-Datos!T12)/Datos!T12,(Datos!J12+Datos!Z12-(Datos!T12+Datos!AH12))/(Datos!T12+Datos!AH12))," - ")</f>
        <v>1.1935953420669578E-2</v>
      </c>
      <c r="D12" s="515">
        <f>IF(ISNUMBER(
   IF(J_V="SI",(Datos!K12-Datos!U12)/Datos!U12,(Datos!K12+Datos!AA12-(Datos!U12+Datos!AI12))/(Datos!U12+Datos!AI12))
     ),IF(J_V="SI",(Datos!K12-Datos!U12)/Datos!U12,(Datos!K12+Datos!AA12-(Datos!U12+Datos!AI12))/(Datos!U12+Datos!AI12))," - ")</f>
        <v>-5.3672316384180789E-2</v>
      </c>
      <c r="E12" s="515">
        <f>IF(ISNUMBER(
   IF(J_V="SI",(Datos!L12-Datos!V12)/Datos!V12,(Datos!L12+Datos!AB12-(Datos!V12+Datos!AJ12))/(Datos!V12+Datos!AJ12))
     ),IF(J_V="SI",(Datos!L12-Datos!V12)/Datos!V12,(Datos!L12+Datos!AB12-(Datos!V12+Datos!AJ12))/(Datos!V12+Datos!AJ12))," - ")</f>
        <v>9.6848578016910075E-2</v>
      </c>
      <c r="F12" s="515">
        <f>IF(ISNUMBER((Datos!M12-Datos!W12)/Datos!W12),(Datos!M12-Datos!W12)/Datos!W12," - ")</f>
        <v>-0.19813278008298754</v>
      </c>
      <c r="G12" s="516">
        <f>IF(ISNUMBER((Datos!N12-Datos!X12)/Datos!X12),(Datos!N12-Datos!X12)/Datos!X12," - ")</f>
        <v>-8.3096590909090912E-2</v>
      </c>
      <c r="H12" s="514">
        <f>IF(ISNUMBER(((NºAsuntos!G12/NºAsuntos!E12)-Datos!BD12)/Datos!BD12),((NºAsuntos!G12/NºAsuntos!E12)-Datos!BD12)/Datos!BD12," - ")</f>
        <v>-6.4834409315207342E-2</v>
      </c>
      <c r="I12" s="515">
        <f>IF(ISNUMBER(((NºAsuntos!I12/NºAsuntos!G12)-Datos!BE12)/Datos!BE12),((NºAsuntos!I12/NºAsuntos!G12)-Datos!BE12)/Datos!BE12," - ")</f>
        <v>0.15905790035219744</v>
      </c>
      <c r="J12" s="521">
        <f>IF(ISNUMBER((('Resol  Asuntos'!D12/NºAsuntos!G12)-Datos!BF12)/Datos!BF12),(('Resol  Asuntos'!D12/NºAsuntos!G12)-Datos!BF12)/Datos!BF12," - ")</f>
        <v>-0.4198566824966079</v>
      </c>
      <c r="K12" s="522">
        <f>IF(ISNUMBER((((NºAsuntos!C12+NºAsuntos!E12)/NºAsuntos!G12)-Datos!BG12)/Datos!BG12),(((NºAsuntos!C12+NºAsuntos!E12)/NºAsuntos!G12)-Datos!BG12)/Datos!BG12," - ")</f>
        <v>4.2746194661889829E-2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-7.355021216407355E-2</v>
      </c>
      <c r="C14" s="1152">
        <f>IF(ISNUMBER(
   IF(J_V="SI",(Datos!J14-Datos!T14)/Datos!T14,(Datos!J14+Datos!Z14-(Datos!T14+Datos!AH14))/(Datos!T14+Datos!AH14))
     ),IF(J_V="SI",(Datos!J14-Datos!T14)/Datos!T14,(Datos!J14+Datos!Z14-(Datos!T14+Datos!AH14))/(Datos!T14+Datos!AH14))," - ")</f>
        <v>1.8181818181818181E-2</v>
      </c>
      <c r="D14" s="1152">
        <f>IF(ISNUMBER(
   IF(J_V="SI",(Datos!K14-Datos!U14)/Datos!U14,(Datos!K14+Datos!AA14-(Datos!U14+Datos!AI14))/(Datos!U14+Datos!AI14))
     ),IF(J_V="SI",(Datos!K14-Datos!U14)/Datos!U14,(Datos!K14+Datos!AA14-(Datos!U14+Datos!AI14))/(Datos!U14+Datos!AI14))," - ")</f>
        <v>-5.2956010086859066E-2</v>
      </c>
      <c r="E14" s="1152">
        <f>IF(ISNUMBER(
   IF(J_V="SI",(Datos!L14-Datos!V14)/Datos!V14,(Datos!L14+Datos!AB14-(Datos!V14+Datos!AJ14))/(Datos!V14+Datos!AJ14))
     ),IF(J_V="SI",(Datos!L14-Datos!V14)/Datos!V14,(Datos!L14+Datos!AB14-(Datos!V14+Datos!AJ14))/(Datos!V14+Datos!AJ14))," - ")</f>
        <v>0.11297709923664122</v>
      </c>
      <c r="F14" s="1153">
        <f>IF(ISNUMBER((Datos!M14-Datos!W14)/Datos!W14),(Datos!M14-Datos!W14)/Datos!W14," - ")</f>
        <v>-0.19242579324462641</v>
      </c>
      <c r="G14" s="1154">
        <f>IF(ISNUMBER((Datos!N14-Datos!X14)/Datos!X14),(Datos!N14-Datos!X14)/Datos!X14," - ")</f>
        <v>-8.1863091037402969E-2</v>
      </c>
      <c r="H14" s="1154">
        <f>IF(ISNUMBER(((NºAsuntos!G14/NºAsuntos!E14)-Datos!BD14)/Datos!BD14),((NºAsuntos!G14/NºAsuntos!E14)-Datos!BD14)/Datos!BD14," - ")</f>
        <v>-6.9867509906736625E-2</v>
      </c>
      <c r="I14" s="1154">
        <f>IF(ISNUMBER(((NºAsuntos!I14/NºAsuntos!G14)-Datos!BE14)/Datos!BE14),((NºAsuntos!I14/NºAsuntos!G14)-Datos!BE14)/Datos!BE14," - ")</f>
        <v>0.17521161750756584</v>
      </c>
      <c r="J14" s="1154">
        <f>IF(ISNUMBER((('Resol  Asuntos'!D14/NºAsuntos!G14)-Datos!BF14)/Datos!BF14),(('Resol  Asuntos'!D14/NºAsuntos!G14)-Datos!BF14)/Datos!BF14," - ")</f>
        <v>-0.41370961361488073</v>
      </c>
      <c r="K14" s="1154">
        <f>IF(ISNUMBER((((NºAsuntos!C14+NºAsuntos!E14)/NºAsuntos!G14)-Datos!BG14)/Datos!BG14),(((NºAsuntos!C14+NºAsuntos!E14)/NºAsuntos!G14)-Datos!BG14)/Datos!BG14," - ")</f>
        <v>4.7043906319924424E-2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-0.16343490304709141</v>
      </c>
      <c r="C17" s="515">
        <f>IF(ISNUMBER(
   IF(D_I="SI",(Datos!J17-Datos!T17)/Datos!T17,(Datos!J17+Datos!AD17-(Datos!T17+Datos!AL17))/(Datos!T17+Datos!AL17))
     ),IF(D_I="SI",(Datos!J17-Datos!T17)/Datos!T17,(Datos!J17+Datos!AD17-(Datos!T17+Datos!AL17))/(Datos!T17+Datos!AL17))," - ")</f>
        <v>0.13801101768628588</v>
      </c>
      <c r="D17" s="515">
        <f>IF(ISNUMBER(
   IF(D_I="SI",(Datos!K17-Datos!U17)/Datos!U17,(Datos!K17+Datos!AE17-(Datos!U17+Datos!AM17))/(Datos!U17+Datos!AM17))
     ),IF(D_I="SI",(Datos!K17-Datos!U17)/Datos!U17,(Datos!K17+Datos!AE17-(Datos!U17+Datos!AM17))/(Datos!U17+Datos!AM17))," - ")</f>
        <v>7.9646017699115043E-2</v>
      </c>
      <c r="E17" s="515">
        <f>IF(ISNUMBER(
   IF(D_I="SI",(Datos!L17-Datos!V17)/Datos!V17,(Datos!L17+Datos!AF17-(Datos!V17+Datos!AN17))/(Datos!V17+Datos!AN17))
     ),IF(D_I="SI",(Datos!L17-Datos!V17)/Datos!V17,(Datos!L17+Datos!AF17-(Datos!V17+Datos!AN17))/(Datos!V17+Datos!AN17))," - ")</f>
        <v>8.4437086092715233E-2</v>
      </c>
      <c r="F17" s="515">
        <f>IF(ISNUMBER((Datos!M17-Datos!W17)/Datos!W17),(Datos!M17-Datos!W17)/Datos!W17," - ")</f>
        <v>-3.8567493112947659E-2</v>
      </c>
      <c r="G17" s="516">
        <f>IF(ISNUMBER((Datos!N17-Datos!X17)/Datos!X17),(Datos!N17-Datos!X17)/Datos!X17," - ")</f>
        <v>6.3846767757382281E-2</v>
      </c>
      <c r="H17" s="514">
        <f>IF(ISNUMBER(((NºAsuntos!G17/NºAsuntos!E17)-Datos!BD17)/Datos!BD17),((NºAsuntos!G17/NºAsuntos!E17)-Datos!BD17)/Datos!BD17," - ")</f>
        <v>-5.1286849670255395E-2</v>
      </c>
      <c r="I17" s="515">
        <f>IF(ISNUMBER(((NºAsuntos!I17/NºAsuntos!G17)-Datos!BE17)/Datos!BE17),((NºAsuntos!I17/NºAsuntos!G17)-Datos!BE17)/Datos!BE17," - ")</f>
        <v>4.4376289219410711E-3</v>
      </c>
      <c r="J17" s="521">
        <f>IF(ISNUMBER((('Resol  Asuntos'!D17/NºAsuntos!G17)-Datos!BF17)/Datos!BF17),(('Resol  Asuntos'!D17/NºAsuntos!G17)-Datos!BF17)/Datos!BF17," - ")</f>
        <v>-0.10949284198166462</v>
      </c>
      <c r="K17" s="522">
        <f>IF(ISNUMBER((((NºAsuntos!C17+NºAsuntos!E17)/NºAsuntos!G17)-Datos!BG17)/Datos!BG17),(((NºAsuntos!C17+NºAsuntos!E17)/NºAsuntos!G17)-Datos!BG17)/Datos!BG17," - ")</f>
        <v>5.7284686221412166E-3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-5.7142857142857141E-2</v>
      </c>
      <c r="C18" s="515">
        <f>IF(ISNUMBER(
   IF(D_I="SI",(Datos!J18-Datos!T18)/Datos!T18,(Datos!J18+Datos!AD18-(Datos!T18+Datos!AL18))/(Datos!T18+Datos!AL18))
     ),IF(D_I="SI",(Datos!J18-Datos!T18)/Datos!T18,(Datos!J18+Datos!AD18-(Datos!T18+Datos!AL18))/(Datos!T18+Datos!AL18))," - ")</f>
        <v>1.7777777777777778E-2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6.0606060606060608E-2</v>
      </c>
      <c r="F18" s="515">
        <f>IF(ISNUMBER((Datos!M18-Datos!W18)/Datos!W18),(Datos!M18-Datos!W18)/Datos!W18," - ")</f>
        <v>6.6666666666666666E-2</v>
      </c>
      <c r="G18" s="516">
        <f>IF(ISNUMBER((Datos!N18-Datos!X18)/Datos!X18),(Datos!N18-Datos!X18)/Datos!X18," - ")</f>
        <v>-0.12698412698412698</v>
      </c>
      <c r="H18" s="514">
        <f>IF(ISNUMBER(((NºAsuntos!G18/NºAsuntos!E18)-Datos!BD18)/Datos!BD18),((NºAsuntos!G18/NºAsuntos!E18)-Datos!BD18)/Datos!BD18," - ")</f>
        <v>-1.7467248908297019E-2</v>
      </c>
      <c r="I18" s="515">
        <f>IF(ISNUMBER(((NºAsuntos!I18/NºAsuntos!G18)-Datos!BE18)/Datos!BE18),((NºAsuntos!I18/NºAsuntos!G18)-Datos!BE18)/Datos!BE18," - ")</f>
        <v>6.0606060606060698E-2</v>
      </c>
      <c r="J18" s="521">
        <f>IF(ISNUMBER((('Resol  Asuntos'!D18/NºAsuntos!G18)-Datos!BF18)/Datos!BF18),(('Resol  Asuntos'!D18/NºAsuntos!G18)-Datos!BF18)/Datos!BF18," - ")</f>
        <v>6.6666666666666763E-2</v>
      </c>
      <c r="K18" s="522">
        <f>IF(ISNUMBER((((NºAsuntos!C18+NºAsuntos!E18)/NºAsuntos!G18)-Datos!BG18)/Datos!BG18),(((NºAsuntos!C18+NºAsuntos!E18)/NºAsuntos!G18)-Datos!BG18)/Datos!BG18," - ")</f>
        <v>7.6923076923077517E-3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-0.15852047556142668</v>
      </c>
      <c r="C23" s="1152">
        <f>IF(ISNUMBER(
   IF(Criterios!B14="SI",(Datos!J23-Datos!T23)/Datos!T23,(Datos!J23+Datos!AD23-(Datos!T23+Datos!AL23))/(Datos!T23+Datos!AL23))
     ),IF(Criterios!B14="SI",(Datos!J23-Datos!T23)/Datos!T23,(Datos!J23+Datos!AD23-(Datos!T23+Datos!AL23))/(Datos!T23+Datos!AL23))," - ")</f>
        <v>0.130647795318454</v>
      </c>
      <c r="D23" s="1152">
        <f>IF(ISNUMBER(
   IF(Criterios!B14="SI",(Datos!K23-Datos!U23)/Datos!U23,(Datos!K23+Datos!AE23-(Datos!U23+Datos!AM23))/(Datos!U23+Datos!AM23))
     ),IF(Criterios!B14="SI",(Datos!K23-Datos!U23)/Datos!U23,(Datos!K23+Datos!AE23-(Datos!U23+Datos!AM23))/(Datos!U23+Datos!AM23))," - ")</f>
        <v>7.4941451990632318E-2</v>
      </c>
      <c r="E23" s="1152">
        <f>IF(ISNUMBER(
   IF(Criterios!B14="SI",(Datos!L23-Datos!V23)/Datos!V23,(Datos!L23+Datos!AF23-(Datos!V23+Datos!AN23))/(Datos!V23+Datos!AN23))
     ),IF(Criterios!B14="SI",(Datos!L23-Datos!V23)/Datos!V23,(Datos!L23+Datos!AF23-(Datos!V23+Datos!AN23))/(Datos!V23+Datos!AN23))," - ")</f>
        <v>8.3202511773940349E-2</v>
      </c>
      <c r="F23" s="1153">
        <f>IF(ISNUMBER((Datos!M23-Datos!W23)/Datos!W23),(Datos!M23-Datos!W23)/Datos!W23," - ")</f>
        <v>-2.6960784313725492E-2</v>
      </c>
      <c r="G23" s="1154">
        <f>IF(ISNUMBER((Datos!N23-Datos!X23)/Datos!X23),(Datos!N23-Datos!X23)/Datos!X23," - ")</f>
        <v>5.4711246200607903E-2</v>
      </c>
      <c r="H23" s="1154">
        <f>IF(ISNUMBER(((NºAsuntos!G23/NºAsuntos!E23)-Datos!BD23)/Datos!BD23),((NºAsuntos!G23/NºAsuntos!E23)-Datos!BD23)/Datos!BD23," - ")</f>
        <v>-4.9269404281756524E-2</v>
      </c>
      <c r="I23" s="1154">
        <f>IF(ISNUMBER(((NºAsuntos!I23/NºAsuntos!G23)-Datos!BE23)/Datos!BE23),((NºAsuntos!I23/NºAsuntos!G23)-Datos!BE23)/Datos!BE23," - ")</f>
        <v>7.6851253321841353E-3</v>
      </c>
      <c r="J23" s="1154">
        <f>IF(ISNUMBER((('Resol  Asuntos'!D23/NºAsuntos!G23)-Datos!BF23)/Datos!BF23),(('Resol  Asuntos'!D23/NºAsuntos!G23)-Datos!BF23)/Datos!BF23," - ")</f>
        <v>-9.4797940962877539E-2</v>
      </c>
      <c r="K23" s="1154">
        <f>IF(ISNUMBER((((NºAsuntos!C23+NºAsuntos!E23)/NºAsuntos!G23)-Datos!BG23)/Datos!BG23),(((NºAsuntos!C23+NºAsuntos!E23)/NºAsuntos!G23)-Datos!BG23)/Datos!BG23," - ")</f>
        <v>5.8647998430546334E-3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-0.10317825886688162</v>
      </c>
      <c r="C31" s="1092">
        <f>IF(ISNUMBER(
   IF(J_V="SI",(Datos!J31-Datos!T31)/Datos!T31,(Datos!J31+Datos!Z31-(Datos!T31+Datos!AH31))/(Datos!T31+Datos!AH31))
     ),IF(J_V="SI",(Datos!J31-Datos!T31)/Datos!T31,(Datos!J31+Datos!Z31-(Datos!T31+Datos!AH31))/(Datos!T31+Datos!AH31))," - ")</f>
        <v>7.6061072979408881E-2</v>
      </c>
      <c r="D31" s="1092">
        <f>IF(ISNUMBER(
   IF(J_V="SI",(Datos!K31-Datos!U31)/Datos!U31,(Datos!K31+Datos!AA31-(Datos!U31+Datos!AI31))/(Datos!U31+Datos!AI31))
     ),IF(J_V="SI",(Datos!K31-Datos!U31)/Datos!U31,(Datos!K31+Datos!AA31-(Datos!U31+Datos!AI31))/(Datos!U31+Datos!AI31))," - ")</f>
        <v>1.335671883432272E-2</v>
      </c>
      <c r="E31" s="1092">
        <f>IF(ISNUMBER(
   IF(J_V="SI",(Datos!L31-Datos!V31)/Datos!V31,(Datos!L31+Datos!AB31-(Datos!V31+Datos!AJ31))/(Datos!V31+Datos!AJ31))
     ),IF(J_V="SI",(Datos!L31-Datos!V31)/Datos!V31,(Datos!L31+Datos!AB31-(Datos!V31+Datos!AJ31))/(Datos!V31+Datos!AJ31))," - ")</f>
        <v>0.10323574730354391</v>
      </c>
      <c r="F31" s="1093">
        <f>IF(ISNUMBER((Datos!M31-Datos!W31)/Datos!W31),(Datos!M31-Datos!W31)/Datos!W31," - ")</f>
        <v>-0.14368231046931407</v>
      </c>
      <c r="G31" s="1094">
        <f>IF(ISNUMBER((Datos!N31-Datos!X31)/Datos!X31),(Datos!N31-Datos!X31)/Datos!X31," - ")</f>
        <v>6.9152877253642877E-3</v>
      </c>
      <c r="H31" s="1095">
        <f>IF(ISNUMBER((Tasas!B31-Datos!BD31)/Datos!BD31),(Tasas!B31-Datos!BD31)/Datos!BD31," - ")</f>
        <v>-5.8272114584974E-2</v>
      </c>
      <c r="I31" s="1096">
        <f>IF(ISNUMBER((Tasas!C31-Datos!BE31)/Datos!BE31),(Tasas!C31-Datos!BE31)/Datos!BE31," - ")</f>
        <v>8.8694362803071261E-2</v>
      </c>
      <c r="J31" s="1097">
        <f>IF(ISNUMBER((Tasas!D31-Datos!BF31)/Datos!BF31),(Tasas!D31-Datos!BF31)/Datos!BF31," - ")</f>
        <v>-0.36010512447608284</v>
      </c>
      <c r="K31" s="1097">
        <f>IF(ISNUMBER((Tasas!E31-Datos!BG31)/Datos!BG31),(Tasas!E31-Datos!BG31)/Datos!BG31," - ")</f>
        <v>2.0631938177032426E-2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6CpIfT5kCPbBVVLIGZ5qpakNa+UcLTjeA83pyPyauavz0HQi59Wk9IaUI9PJGnA7+GpcOFmvBldrc8LCQclqg==" saltValue="9JxpiOc3gdYb0V7nIUP9E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HUESCA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0.57692307692307687</v>
      </c>
      <c r="C10" s="498">
        <f>IF(ISNUMBER(NºAsuntos!I10/NºAsuntos!G10),NºAsuntos!I10/NºAsuntos!G10," - ")</f>
        <v>1.0333333333333334</v>
      </c>
      <c r="D10" s="499">
        <f>IF(ISNUMBER('Resol  Asuntos'!D10/NºAsuntos!G10),'Resol  Asuntos'!D10/NºAsuntos!G10," - ")</f>
        <v>0.53333333333333333</v>
      </c>
      <c r="E10" s="500">
        <f>IF(ISNUMBER((NºAsuntos!C10+NºAsuntos!E10)/NºAsuntos!G10),(NºAsuntos!C10+NºAsuntos!E10)/NºAsuntos!G10," - ")</f>
        <v>2.0333333333333332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0.96375143843498279</v>
      </c>
      <c r="C12" s="498">
        <f>IF(ISNUMBER(NºAsuntos!I12/NºAsuntos!G12),NºAsuntos!I12/NºAsuntos!G12," - ")</f>
        <v>0.42597014925373133</v>
      </c>
      <c r="D12" s="499">
        <f>IF(ISNUMBER('Resol  Asuntos'!D12/NºAsuntos!G12),'Resol  Asuntos'!D12/NºAsuntos!G12," - ")</f>
        <v>0.23074626865671641</v>
      </c>
      <c r="E12" s="500">
        <f>IF(ISNUMBER((NºAsuntos!C12+NºAsuntos!E12)/NºAsuntos!G12),(NºAsuntos!C12+NºAsuntos!E12)/NºAsuntos!G12," - ")</f>
        <v>1.4259701492537313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0.95804988662131518</v>
      </c>
      <c r="C14" s="1156">
        <f>IF(ISNUMBER(NºAsuntos!I14/NºAsuntos!G14),NºAsuntos!I14/NºAsuntos!G14," - ")</f>
        <v>0.43136094674556213</v>
      </c>
      <c r="D14" s="1157">
        <f>IF(ISNUMBER('Resol  Asuntos'!D14/NºAsuntos!G14),'Resol  Asuntos'!D14/NºAsuntos!G14," - ")</f>
        <v>0.2334319526627219</v>
      </c>
      <c r="E14" s="1158">
        <f>IF(ISNUMBER((NºAsuntos!C14+NºAsuntos!E14)/NºAsuntos!G14),(NºAsuntos!C14+NºAsuntos!E14)/NºAsuntos!G14," - ")</f>
        <v>1.4313609467455621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0.9946496815286624</v>
      </c>
      <c r="C17" s="498">
        <f>IF(ISNUMBER(NºAsuntos!I17/NºAsuntos!G17),NºAsuntos!I17/NºAsuntos!G17," - ")</f>
        <v>0.16777663934426229</v>
      </c>
      <c r="D17" s="499">
        <f>IF(ISNUMBER('Resol  Asuntos'!D17/NºAsuntos!G17),'Resol  Asuntos'!D17/NºAsuntos!G17," - ")</f>
        <v>8.9395491803278687E-2</v>
      </c>
      <c r="E17" s="500">
        <f>IF(ISNUMBER((NºAsuntos!C17+NºAsuntos!E17)/NºAsuntos!G17),(NºAsuntos!C17+NºAsuntos!E17)/NºAsuntos!G17," - ")</f>
        <v>1.1600922131147542</v>
      </c>
      <c r="G17" s="523"/>
    </row>
    <row r="18" spans="1:7">
      <c r="A18" s="450" t="str">
        <f>Datos!A18</f>
        <v>Jdos. Violencia contra la mujer</v>
      </c>
      <c r="B18" s="497">
        <f>IF(ISNUMBER(NºAsuntos!G18/NºAsuntos!E18),NºAsuntos!G18/NºAsuntos!E18," - ")</f>
        <v>0.99126637554585151</v>
      </c>
      <c r="C18" s="498">
        <f>IF(ISNUMBER(NºAsuntos!I18/NºAsuntos!G18),NºAsuntos!I18/NºAsuntos!G18," - ")</f>
        <v>0.15418502202643172</v>
      </c>
      <c r="D18" s="499">
        <f>IF(ISNUMBER('Resol  Asuntos'!D18/NºAsuntos!G18),'Resol  Asuntos'!D18/NºAsuntos!G18," - ")</f>
        <v>0.21145374449339208</v>
      </c>
      <c r="E18" s="500">
        <f>IF(ISNUMBER((NºAsuntos!C18+NºAsuntos!E18)/NºAsuntos!G18),(NºAsuntos!C18+NºAsuntos!E18)/NºAsuntos!G18," - ")</f>
        <v>1.1541850220264318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0.99446316803081369</v>
      </c>
      <c r="C23" s="1156">
        <f>IF(ISNUMBER(NºAsuntos!I23/NºAsuntos!G23),NºAsuntos!I23/NºAsuntos!G23," - ")</f>
        <v>0.16702977487291212</v>
      </c>
      <c r="D23" s="1159">
        <f>IF(ISNUMBER('Resol  Asuntos'!D23/NºAsuntos!G23),'Resol  Asuntos'!D23/NºAsuntos!G23," - ")</f>
        <v>9.6102638586298722E-2</v>
      </c>
      <c r="E23" s="1158">
        <f>IF(ISNUMBER((NºAsuntos!C23+NºAsuntos!E23)/NºAsuntos!G23),(NºAsuntos!C23+NºAsuntos!E23)/NºAsuntos!G23," - ")</f>
        <v>1.1597676107480028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0.97774017183025252</v>
      </c>
      <c r="C31" s="1099">
        <f>IF(ISNUMBER(NºAsuntos!I31/NºAsuntos!G31),NºAsuntos!I31/NºAsuntos!G31," - ")</f>
        <v>0.28598056184263082</v>
      </c>
      <c r="D31" s="1100">
        <f>IF(ISNUMBER('Resol  Asuntos'!D31/NºAsuntos!G31),'Resol  Asuntos'!D31/NºAsuntos!G31," - ")</f>
        <v>0.15790174410864066</v>
      </c>
      <c r="E31" s="1101">
        <f>IF(ISNUMBER((NºAsuntos!C31+NºAsuntos!E31)/NºAsuntos!G31),(NºAsuntos!C31+NºAsuntos!E31)/NºAsuntos!G31," - ")</f>
        <v>1.2819864199174544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FM/LyL4bt+dXIOC10su+u4kDYVBT0m+GvoG4pLeCQqK0TOxmhCX1oOt/SIl/BCod5kZVKopjCduQzOTPL3+vw==" saltValue="hSZOewo9I9ZU50LUtlmd7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HUESCA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v>
      </c>
      <c r="X10" s="240">
        <f>IF(ISNUMBER(Datos!Q10),Datos!Q10," - ")</f>
        <v>7</v>
      </c>
      <c r="Y10" s="374">
        <f t="shared" ref="Y10:Y13" si="0">SUM(W10:X10)</f>
        <v>37</v>
      </c>
      <c r="Z10" s="375" t="str">
        <f>IF(ISNUMBER(Datos!CC10),Datos!CC10," - ")</f>
        <v xml:space="preserve"> - </v>
      </c>
      <c r="AA10" s="372">
        <f>IF(ISNUMBER(Datos!L10),Datos!L10,"-")</f>
        <v>31</v>
      </c>
      <c r="AB10" s="374">
        <f>IF(ISNUMBER(Datos!R10),Datos!R10," - ")</f>
        <v>4</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0.57692307692307687</v>
      </c>
      <c r="AM10" s="284">
        <f>IF(ISNUMBER(((NºAsuntos!I10/NºAsuntos!G10)*11)/factor_trimestre),((NºAsuntos!I10/NºAsuntos!G10)*11)/factor_trimestre," - ")</f>
        <v>11.366666666666667</v>
      </c>
      <c r="AN10" s="267">
        <f>IF(ISNUMBER('Resol  Asuntos'!D10/NºAsuntos!G10),'Resol  Asuntos'!D10/NºAsuntos!G10," - ")</f>
        <v>0.53333333333333333</v>
      </c>
      <c r="AO10" s="268">
        <f>IF(ISNUMBER((NºAsuntos!C10+NºAsuntos!E10)/NºAsuntos!G10),(NºAsuntos!C10+NºAsuntos!E10)/NºAsuntos!G10," - ")</f>
        <v>2.0333333333333332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1186</v>
      </c>
      <c r="Y12" s="374">
        <f t="shared" si="0"/>
        <v>1186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773</v>
      </c>
      <c r="AJ12" s="243" t="str">
        <f>IF(ISNUMBER(Datos!BW12),Datos!BW12," - ")</f>
        <v xml:space="preserve"> - </v>
      </c>
      <c r="AK12" s="242" t="str">
        <f>IF(ISNUMBER(Datos!BX12),Datos!BX12," - ")</f>
        <v xml:space="preserve"> - </v>
      </c>
      <c r="AL12" s="266">
        <f>IF(ISNUMBER(NºAsuntos!G12/NºAsuntos!E12),NºAsuntos!G12/NºAsuntos!E12," - ")</f>
        <v>0.96375143843498279</v>
      </c>
      <c r="AM12" s="284">
        <f>IF(ISNUMBER(((NºAsuntos!I12/NºAsuntos!G12)*11)/factor_trimestre),((NºAsuntos!I12/NºAsuntos!G12)*11)/factor_trimestre," - ")</f>
        <v>4.6856716417910445</v>
      </c>
      <c r="AN12" s="267">
        <f>IF(ISNUMBER('Resol  Asuntos'!D12/NºAsuntos!G12),'Resol  Asuntos'!D12/NºAsuntos!G12," - ")</f>
        <v>0.23074626865671641</v>
      </c>
      <c r="AO12" s="268">
        <f>IF(ISNUMBER((NºAsuntos!C12+NºAsuntos!E12)/NºAsuntos!G12),(NºAsuntos!C12+NºAsuntos!E12)/NºAsuntos!G12," - ")</f>
        <v>1.4259701492537313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9</v>
      </c>
      <c r="G14" s="1163">
        <f t="shared" si="5"/>
        <v>9</v>
      </c>
      <c r="H14" s="1162">
        <f t="shared" si="5"/>
        <v>0</v>
      </c>
      <c r="I14" s="1164">
        <f t="shared" si="5"/>
        <v>0</v>
      </c>
      <c r="J14" s="1164">
        <f t="shared" si="5"/>
        <v>0</v>
      </c>
      <c r="K14" s="1164">
        <f t="shared" si="5"/>
        <v>0</v>
      </c>
      <c r="L14" s="1164">
        <f t="shared" si="5"/>
        <v>964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v>
      </c>
      <c r="X14" s="1164">
        <f t="shared" si="6"/>
        <v>1193</v>
      </c>
      <c r="Y14" s="1165">
        <f t="shared" si="6"/>
        <v>1223</v>
      </c>
      <c r="Z14" s="1165">
        <f t="shared" si="6"/>
        <v>0</v>
      </c>
      <c r="AA14" s="1165">
        <f t="shared" si="6"/>
        <v>31</v>
      </c>
      <c r="AB14" s="1165">
        <f t="shared" si="6"/>
        <v>2751</v>
      </c>
      <c r="AC14" s="1165">
        <f t="shared" si="6"/>
        <v>35</v>
      </c>
      <c r="AD14" s="1165">
        <f t="shared" si="6"/>
        <v>0</v>
      </c>
      <c r="AE14" s="1169">
        <f t="shared" si="6"/>
        <v>0</v>
      </c>
      <c r="AF14" s="1162">
        <f t="shared" si="6"/>
        <v>0</v>
      </c>
      <c r="AG14" s="1170">
        <f t="shared" si="6"/>
        <v>0</v>
      </c>
      <c r="AH14" s="1167">
        <f t="shared" si="6"/>
        <v>0</v>
      </c>
      <c r="AI14" s="1162">
        <f t="shared" si="6"/>
        <v>789</v>
      </c>
      <c r="AJ14" s="1164">
        <f t="shared" si="6"/>
        <v>0</v>
      </c>
      <c r="AK14" s="1167">
        <f>SUBTOTAL(9,AK9:AK13)</f>
        <v>0</v>
      </c>
      <c r="AL14" s="1171">
        <f>IF(ISNUMBER(NºAsuntos!G14/NºAsuntos!E14),NºAsuntos!G14/NºAsuntos!E14," - ")</f>
        <v>0.95804988662131518</v>
      </c>
      <c r="AM14" s="1171">
        <f>IF(ISNUMBER(((NºAsuntos!I14/NºAsuntos!G14)*11)/factor_trimestre),((NºAsuntos!I14/NºAsuntos!G14)*11)/factor_trimestre," - ")</f>
        <v>4.7449704142011839</v>
      </c>
      <c r="AN14" s="1172">
        <f>IF(ISNUMBER('Resol  Asuntos'!D14/NºAsuntos!G14),'Resol  Asuntos'!D14/NºAsuntos!G14," - ")</f>
        <v>0.2334319526627219</v>
      </c>
      <c r="AO14" s="1173">
        <f>IF(ISNUMBER((NºAsuntos!C14+NºAsuntos!E14)/NºAsuntos!G14),(NºAsuntos!C14+NºAsuntos!E14)/NºAsuntos!G14," - ")</f>
        <v>1.4313609467455621</v>
      </c>
      <c r="AP14" s="1174" t="str">
        <f t="shared" si="2"/>
        <v xml:space="preserve"> - </v>
      </c>
      <c r="AQ14" s="1174">
        <f>IF(ISNUMBER((H14-W14+K14)/(F14)),(H14-W14+K14)/(F14)," - ")</f>
        <v>-3.3333333333333335</v>
      </c>
      <c r="AR14" s="1175">
        <f>IF(ISNUMBER((Datos!P14-Datos!Q14)/(Datos!R14-Datos!P14+Datos!Q14)),(Datos!P14-Datos!Q14)/(Datos!R14-Datos!P14+Datos!Q14)," - ")</f>
        <v>-7.6845637583892623E-2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634</v>
      </c>
      <c r="G17" s="373">
        <f>IF(ISNUMBER(IF(D_I="SI",Datos!I17,Datos!I17+Datos!AC17)),IF(D_I="SI",Datos!I17,Datos!I17+Datos!AC17)," - ")</f>
        <v>604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3904</v>
      </c>
      <c r="X17" s="240">
        <f>IF(ISNUMBER(Datos!Q17),Datos!Q17," - ")</f>
        <v>95</v>
      </c>
      <c r="Y17" s="374">
        <f t="shared" ref="Y17:Y22" si="9">SUM(W17:X17)</f>
        <v>3999</v>
      </c>
      <c r="Z17" s="375" t="str">
        <f>IF(ISNUMBER(Datos!CC17),Datos!CC17," - ")</f>
        <v xml:space="preserve"> - </v>
      </c>
      <c r="AA17" s="372">
        <f>IF(ISNUMBER(IF(D_I="SI",Datos!L17,Datos!L17+Datos!AF17)),IF(D_I="SI",Datos!L17,Datos!L17+Datos!AF17)," - ")</f>
        <v>655</v>
      </c>
      <c r="AB17" s="374">
        <f>IF(ISNUMBER(Datos!R17),Datos!R17," - ")</f>
        <v>138</v>
      </c>
      <c r="AC17" s="374">
        <f t="shared" si="8"/>
        <v>793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349</v>
      </c>
      <c r="AJ17" s="245" t="str">
        <f>IF(ISNUMBER(Datos!BW17),Datos!BW17," - ")</f>
        <v xml:space="preserve"> - </v>
      </c>
      <c r="AK17" s="246" t="str">
        <f>IF(ISNUMBER(Datos!BX17),Datos!BX17," - ")</f>
        <v xml:space="preserve"> - </v>
      </c>
      <c r="AL17" s="266">
        <f>IF(ISNUMBER(NºAsuntos!G17/NºAsuntos!E17),NºAsuntos!G17/NºAsuntos!E17," - ")</f>
        <v>0.9946496815286624</v>
      </c>
      <c r="AM17" s="284">
        <f>IF(ISNUMBER(((NºAsuntos!I17/NºAsuntos!G17)*11)/factor_trimestre),((NºAsuntos!I17/NºAsuntos!G17)*11)/factor_trimestre," - ")</f>
        <v>1.8455430327868851</v>
      </c>
      <c r="AN17" s="267">
        <f>IF(ISNUMBER('Resol  Asuntos'!D17/NºAsuntos!G17),'Resol  Asuntos'!D17/NºAsuntos!G17," - ")</f>
        <v>8.9395491803278687E-2</v>
      </c>
      <c r="AO17" s="268">
        <f>IF(ISNUMBER((NºAsuntos!C17+NºAsuntos!E17)/NºAsuntos!G17),(NºAsuntos!C17+NºAsuntos!E17)/NºAsuntos!G17," - ")</f>
        <v>1.1600922131147542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227</v>
      </c>
      <c r="X18" s="240">
        <f>IF(ISNUMBER(Datos!Q18),Datos!Q18," - ")</f>
        <v>2</v>
      </c>
      <c r="Y18" s="374">
        <f t="shared" si="9"/>
        <v>229</v>
      </c>
      <c r="Z18" s="375" t="str">
        <f>IF(ISNUMBER(Datos!CC18),Datos!CC18," - ")</f>
        <v xml:space="preserve"> - </v>
      </c>
      <c r="AA18" s="372">
        <f>IF(ISNUMBER(Datos!L18),Datos!L18,"-")</f>
        <v>35</v>
      </c>
      <c r="AB18" s="374">
        <f>IF(ISNUMBER(Datos!R18),Datos!R18," - ")</f>
        <v>0</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48</v>
      </c>
      <c r="AJ18" s="245" t="str">
        <f>IF(ISNUMBER(Datos!BW18),Datos!BW18," - ")</f>
        <v xml:space="preserve"> - </v>
      </c>
      <c r="AK18" s="246" t="str">
        <f>IF(ISNUMBER(Datos!BX18),Datos!BX18," - ")</f>
        <v xml:space="preserve"> - </v>
      </c>
      <c r="AL18" s="266">
        <f>IF(ISNUMBER(NºAsuntos!G18/NºAsuntos!E18),NºAsuntos!G18/NºAsuntos!E18," - ")</f>
        <v>0.99126637554585151</v>
      </c>
      <c r="AM18" s="284">
        <f>IF(ISNUMBER(((NºAsuntos!I18/NºAsuntos!G18)*11)/factor_trimestre),((NºAsuntos!I18/NºAsuntos!G18)*11)/factor_trimestre," - ")</f>
        <v>1.696035242290749</v>
      </c>
      <c r="AN18" s="267">
        <f>IF(ISNUMBER('Resol  Asuntos'!D18/NºAsuntos!G18),'Resol  Asuntos'!D18/NºAsuntos!G18," - ")</f>
        <v>0.21145374449339208</v>
      </c>
      <c r="AO18" s="268">
        <f>IF(ISNUMBER((NºAsuntos!C18+NºAsuntos!E18)/NºAsuntos!G18),(NºAsuntos!C18+NºAsuntos!E18)/NºAsuntos!G18," - ")</f>
        <v>1.1541850220264318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634</v>
      </c>
      <c r="G23" s="1163">
        <f>SUBTOTAL(9,G16:G22)</f>
        <v>637</v>
      </c>
      <c r="H23" s="1162">
        <f t="shared" ref="H23:O23" si="13">SUBTOTAL(9,H15:H22)</f>
        <v>0</v>
      </c>
      <c r="I23" s="1164">
        <f t="shared" si="13"/>
        <v>0</v>
      </c>
      <c r="J23" s="1164">
        <f t="shared" si="13"/>
        <v>0</v>
      </c>
      <c r="K23" s="1164">
        <f t="shared" si="13"/>
        <v>0</v>
      </c>
      <c r="L23" s="1164">
        <f t="shared" si="13"/>
        <v>96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4131</v>
      </c>
      <c r="X23" s="1164">
        <f t="shared" si="14"/>
        <v>97</v>
      </c>
      <c r="Y23" s="1165">
        <f t="shared" si="14"/>
        <v>4228</v>
      </c>
      <c r="Z23" s="1165">
        <f t="shared" si="14"/>
        <v>0</v>
      </c>
      <c r="AA23" s="1165">
        <f t="shared" si="14"/>
        <v>690</v>
      </c>
      <c r="AB23" s="1165">
        <f t="shared" si="14"/>
        <v>138</v>
      </c>
      <c r="AC23" s="1165">
        <f t="shared" si="14"/>
        <v>828</v>
      </c>
      <c r="AD23" s="1165">
        <f t="shared" si="14"/>
        <v>0</v>
      </c>
      <c r="AE23" s="1169">
        <f t="shared" si="14"/>
        <v>0</v>
      </c>
      <c r="AF23" s="1162">
        <f t="shared" si="14"/>
        <v>0</v>
      </c>
      <c r="AG23" s="1170">
        <f t="shared" si="14"/>
        <v>0</v>
      </c>
      <c r="AH23" s="1167">
        <f t="shared" si="14"/>
        <v>0</v>
      </c>
      <c r="AI23" s="1162">
        <f t="shared" si="14"/>
        <v>397</v>
      </c>
      <c r="AJ23" s="1164">
        <f t="shared" si="14"/>
        <v>0</v>
      </c>
      <c r="AK23" s="1167">
        <f t="shared" si="14"/>
        <v>0</v>
      </c>
      <c r="AL23" s="1171">
        <f>IF(ISNUMBER(NºAsuntos!G23/NºAsuntos!E23),NºAsuntos!G23/NºAsuntos!E23," - ")</f>
        <v>0.99446316803081369</v>
      </c>
      <c r="AM23" s="1171">
        <f>IF(ISNUMBER(((NºAsuntos!I23/NºAsuntos!G23)*11)/factor_trimestre),((NºAsuntos!I23/NºAsuntos!G23)*11)/factor_trimestre," - ")</f>
        <v>1.8373275236020334</v>
      </c>
      <c r="AN23" s="1172">
        <f>IF(ISNUMBER('Resol  Asuntos'!D23/NºAsuntos!G23),'Resol  Asuntos'!D23/NºAsuntos!G23," - ")</f>
        <v>9.6102638586298722E-2</v>
      </c>
      <c r="AO23" s="1173">
        <f>IF(ISNUMBER((NºAsuntos!C23+NºAsuntos!E23)/NºAsuntos!G23),(NºAsuntos!C23+NºAsuntos!E23)/NºAsuntos!G23," - ")</f>
        <v>1.1597676107480028</v>
      </c>
      <c r="AP23" s="1174" t="str">
        <f t="shared" si="2"/>
        <v xml:space="preserve"> - </v>
      </c>
      <c r="AQ23" s="1174">
        <f>IF(ISNUMBER((H23-W23+K23)/(F23)),(H23-W23+K23)/(F23)," - ")</f>
        <v>-6.5157728706624605</v>
      </c>
      <c r="AR23" s="1175">
        <f>IF(ISNUMBER((Datos!P23-Datos!Q23)/(Datos!R23-Datos!P23+Datos!Q23)),(Datos!P23-Datos!Q23)/(Datos!R23-Datos!P23+Datos!Q23)," - ")</f>
        <v>-7.1942446043165471E-3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643</v>
      </c>
      <c r="G31" s="1118">
        <f t="shared" si="20"/>
        <v>646</v>
      </c>
      <c r="H31" s="1117">
        <f t="shared" si="20"/>
        <v>0</v>
      </c>
      <c r="I31" s="1119">
        <f t="shared" si="20"/>
        <v>0</v>
      </c>
      <c r="J31" s="1119">
        <f t="shared" si="20"/>
        <v>0</v>
      </c>
      <c r="K31" s="1180">
        <f t="shared" si="20"/>
        <v>0</v>
      </c>
      <c r="L31" s="1119">
        <f t="shared" si="20"/>
        <v>1060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4161</v>
      </c>
      <c r="X31" s="1118">
        <f t="shared" si="21"/>
        <v>1290</v>
      </c>
      <c r="Y31" s="1125">
        <f t="shared" si="21"/>
        <v>5451</v>
      </c>
      <c r="Z31" s="1125">
        <f t="shared" si="21"/>
        <v>0</v>
      </c>
      <c r="AA31" s="1125">
        <f t="shared" si="21"/>
        <v>721</v>
      </c>
      <c r="AB31" s="1125">
        <f t="shared" si="21"/>
        <v>2889</v>
      </c>
      <c r="AC31" s="1125">
        <f t="shared" si="21"/>
        <v>863</v>
      </c>
      <c r="AD31" s="1125">
        <f t="shared" si="21"/>
        <v>0</v>
      </c>
      <c r="AE31" s="1127">
        <f t="shared" si="21"/>
        <v>0</v>
      </c>
      <c r="AF31" s="1128">
        <f t="shared" si="21"/>
        <v>0</v>
      </c>
      <c r="AG31" s="1129">
        <f t="shared" si="21"/>
        <v>0</v>
      </c>
      <c r="AH31" s="1127">
        <f t="shared" si="21"/>
        <v>0</v>
      </c>
      <c r="AI31" s="1117">
        <f t="shared" si="21"/>
        <v>1186</v>
      </c>
      <c r="AJ31" s="1117">
        <f t="shared" si="21"/>
        <v>0</v>
      </c>
      <c r="AK31" s="1127">
        <f t="shared" si="21"/>
        <v>0</v>
      </c>
      <c r="AL31" s="1183">
        <f>IF(ISNUMBER(NºAsuntos!G31/NºAsuntos!E31),NºAsuntos!G31/NºAsuntos!E31," - ")</f>
        <v>0.97774017183025252</v>
      </c>
      <c r="AM31" s="1184">
        <f>IF(ISNUMBER(((NºAsuntos!I31/NºAsuntos!G31)*11)/factor_trimestre),((NºAsuntos!I31/NºAsuntos!G31)*11)/factor_trimestre," - ")</f>
        <v>3.1457861802689391</v>
      </c>
      <c r="AN31" s="1184">
        <f>IF(ISNUMBER('Resol  Asuntos'!D31/NºAsuntos!G31),'Resol  Asuntos'!D31/NºAsuntos!G31," - ")</f>
        <v>0.15790174410864066</v>
      </c>
      <c r="AO31" s="1185">
        <f>IF(ISNUMBER((NºAsuntos!C31+NºAsuntos!E31)/NºAsuntos!G31),(NºAsuntos!C31+NºAsuntos!E31)/NºAsuntos!G31," - ")</f>
        <v>1.2819864199174544</v>
      </c>
      <c r="AP31" s="1186" t="str">
        <f t="shared" si="2"/>
        <v xml:space="preserve"> - </v>
      </c>
      <c r="AQ31" s="1187">
        <f>IF(OR(ISNUMBER(FIND("01",Criterios!A8,1)),ISNUMBER(FIND("02",Criterios!A8,1)),ISNUMBER(FIND("03",Criterios!A8,1)),ISNUMBER(FIND("04",Criterios!A8,1))),(I31-W31+K31)/(F31-K31),(H31-W31+K31)/(F31-K31))</f>
        <v>-6.4712286158631418</v>
      </c>
      <c r="AR31" s="1188">
        <f>IF(ISNUMBER((Datos!P31-Datos!Q31)/(Datos!R31-Datos!P31+Datos!Q31)),(Datos!P31-Datos!Q31)/(Datos!R31-Datos!P31+Datos!Q31)," - ")</f>
        <v>-7.3741583840974678E-2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325.09731876265397</v>
      </c>
      <c r="G33" s="277">
        <f>IF(ISNUMBER(STDEV(G8:G30)),STDEV(G8:G30),"-")</f>
        <v>298.15256561189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1935.0295801848808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337.79156717884899</v>
      </c>
      <c r="AJ33" s="276">
        <f t="shared" si="25"/>
        <v>0</v>
      </c>
      <c r="AK33" s="278">
        <f t="shared" si="25"/>
        <v>0</v>
      </c>
      <c r="AL33" s="273">
        <f t="shared" si="25"/>
        <v>0.16551811972971875</v>
      </c>
      <c r="AM33" s="274">
        <f t="shared" si="25"/>
        <v>3.7183511585342188</v>
      </c>
      <c r="AN33" s="274">
        <f t="shared" si="25"/>
        <v>0.16126417823365813</v>
      </c>
      <c r="AO33" s="275">
        <f t="shared" si="25"/>
        <v>0.34007465258429087</v>
      </c>
      <c r="AP33" s="317" t="str">
        <f t="shared" si="25"/>
        <v>-</v>
      </c>
      <c r="AQ33" s="318">
        <f t="shared" si="25"/>
        <v>2.2503245775616056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a2XMZc+3roX7Vtx4RnFHGxA97axhUyKMbA5vhMZxp5e/Kyo31BKNwIypfBzMiJM2kgh+I6r/8BIa8k763Gxmew==" saltValue="289jRuVEpr+vvWSmzAhe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HUESCA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0.125</v>
      </c>
      <c r="E10" s="393">
        <f>IF(ISNUMBER((Datos!J10-Datos!T10)/Datos!T10),(Datos!J10-Datos!T10)/Datos!T10," - ")</f>
        <v>0.73333333333333328</v>
      </c>
      <c r="F10" s="393">
        <f>IF(ISNUMBER((Datos!K10-Datos!U10)/Datos!U10),(Datos!K10-Datos!U10)/Datos!U10," - ")</f>
        <v>3.4482758620689655E-2</v>
      </c>
      <c r="G10" s="394">
        <f>IF(ISNUMBER((Datos!L10-Datos!V10)/Datos!V10),(Datos!L10-Datos!V10)/Datos!V10," - ")</f>
        <v>2.4444444444444446</v>
      </c>
      <c r="H10" s="244">
        <f>IF(ISNUMBER((Datos!M10-Datos!W10)/Datos!W10),(Datos!M10-Datos!W10)/Datos!W10," - ")</f>
        <v>0.23076923076923078</v>
      </c>
      <c r="I10" s="395">
        <f>IF(ISNUMBER((Tasas!C10-Datos!BE10)/Datos!BE10),(Tasas!C10-Datos!BE10)/Datos!BE10," - ")</f>
        <v>2.3296296296296299</v>
      </c>
      <c r="J10" s="394">
        <f>IF(ISNUMBER((Tasas!D10-Datos!BF10)/Datos!BF10),(Tasas!D10-Datos!BF10)/Datos!BF10," - ")</f>
        <v>0.18974358974358971</v>
      </c>
      <c r="K10" s="396">
        <f>IF(ISNUMBER((Tasas!E10-Datos!BG10)/Datos!BG10),(Tasas!E10-Datos!BG10)/Datos!BG10," - ")</f>
        <v>0.55175438596491222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-0.19813278008298754</v>
      </c>
      <c r="I12" s="395">
        <f>IF(ISNUMBER((Tasas!C12-Datos!BE12)/Datos!BE12),(Tasas!C12-Datos!BE12)/Datos!BE12," - ")</f>
        <v>0.15905790035219744</v>
      </c>
      <c r="J12" s="394">
        <f>IF(ISNUMBER((Tasas!D12-Datos!BF12)/Datos!BF12),(Tasas!D12-Datos!BF12)/Datos!BF12," - ")</f>
        <v>-0.4198566824966079</v>
      </c>
      <c r="K12" s="396">
        <f>IF(ISNUMBER((Tasas!E12-Datos!BG12)/Datos!BG12),(Tasas!E12-Datos!BG12)/Datos!BG12," - ")</f>
        <v>4.2746194661889829E-2</v>
      </c>
      <c r="M12" t="e">
        <f>IF(Monitorios="SI",Datos!CE12,0)</f>
        <v>#REF!</v>
      </c>
      <c r="N12" t="e">
        <f>IF(Monitorios="SI",Datos!CF12,0)</f>
        <v>#REF!</v>
      </c>
      <c r="O12" t="e">
        <f>IF(Monitorios="SI",Datos!CG12,0)</f>
        <v>#REF!</v>
      </c>
      <c r="P12" t="e">
        <f>IF(Monitorios="SI",Datos!CH12,0)</f>
        <v>#REF!</v>
      </c>
      <c r="Q12">
        <f>IF(J_V="SI",0,Datos!AG12)</f>
        <v>60</v>
      </c>
      <c r="R12">
        <f>IF(J_V="SI",0,Datos!AH12)</f>
        <v>489</v>
      </c>
      <c r="S12">
        <f>IF(J_V="SI",0,Datos!AI12)</f>
        <v>498</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-0.19242579324462641</v>
      </c>
      <c r="I14" s="402">
        <f>IF(ISNUMBER((Tasas!C14-Datos!BE14)/Datos!BE14),(Tasas!C14-Datos!BE14)/Datos!BE14," - ")</f>
        <v>0.17521161750756584</v>
      </c>
      <c r="J14" s="400">
        <f>IF(ISNUMBER((Tasas!D14-Datos!BF14)/Datos!BF14),(Tasas!D14-Datos!BF14)/Datos!BF14," - ")</f>
        <v>-0.41370961361488073</v>
      </c>
      <c r="K14" s="403">
        <f>IF(ISNUMBER((Tasas!E14-Datos!BG14)/Datos!BG14),(Tasas!E14-Datos!BG14)/Datos!BG14," - ")</f>
        <v>4.7043906319924424E-2</v>
      </c>
      <c r="M14" t="e">
        <f>IF(Monitorios="SI",Datos!CE14,0)</f>
        <v>#REF!</v>
      </c>
      <c r="N14" t="e">
        <f>IF(Monitorios="SI",Datos!CF14,0)</f>
        <v>#REF!</v>
      </c>
      <c r="O14" t="e">
        <f>IF(Monitorios="SI",Datos!CG14,0)</f>
        <v>#REF!</v>
      </c>
      <c r="P14" t="e">
        <f>IF(Monitorios="SI",Datos!CH14,0)</f>
        <v>#REF!</v>
      </c>
      <c r="Q14">
        <f>IF(J_V="SI",0,Datos!AG14)</f>
        <v>60</v>
      </c>
      <c r="R14">
        <f>IF(J_V="SI",0,Datos!AH14)</f>
        <v>489</v>
      </c>
      <c r="S14">
        <f>IF(J_V="SI",0,Datos!AI14)</f>
        <v>498</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-0.16343490304709141</v>
      </c>
      <c r="E17" s="393">
        <f>IF(ISNUMBER(
   IF(D_I="SI",(Datos!J17-Datos!T17)/Datos!T17,(Datos!J17+Datos!AD17-(Datos!T17+Datos!AL17))/(Datos!T17+Datos!AL17))
     ),IF(D_I="SI",(Datos!J17-Datos!T17)/Datos!T17,(Datos!J17+Datos!AD17-(Datos!T17+Datos!AL17))/(Datos!T17+Datos!AL17))," - ")</f>
        <v>0.13801101768628588</v>
      </c>
      <c r="F17" s="393">
        <f>IF(ISNUMBER(
   IF(D_I="SI",(Datos!K17-Datos!U17)/Datos!U17,(Datos!K17+Datos!AE17-(Datos!U17+Datos!AM17))/(Datos!U17+Datos!AM17))
     ),IF(D_I="SI",(Datos!K17-Datos!U17)/Datos!U17,(Datos!K17+Datos!AE17-(Datos!U17+Datos!AM17))/(Datos!U17+Datos!AM17))," - ")</f>
        <v>7.9646017699115043E-2</v>
      </c>
      <c r="G17" s="394">
        <f>IF(ISNUMBER(
   IF(D_I="SI",(Datos!L17-Datos!V17)/Datos!V17,(Datos!L17+Datos!AF17-(Datos!V17+Datos!AN17))/(Datos!V17+Datos!AN17))
     ),IF(D_I="SI",(Datos!L17-Datos!V17)/Datos!V17,(Datos!L17+Datos!AF17-(Datos!V17+Datos!AN17))/(Datos!V17+Datos!AN17))," - ")</f>
        <v>8.4437086092715233E-2</v>
      </c>
      <c r="H17" s="244">
        <f>IF(ISNUMBER((Datos!M17-Datos!W17)/Datos!W17),(Datos!M17-Datos!W17)/Datos!W17," - ")</f>
        <v>-3.8567493112947659E-2</v>
      </c>
      <c r="I17" s="395">
        <f>IF(ISNUMBER((Tasas!C17-Datos!BE17)/Datos!BE17),(Tasas!C17-Datos!BE17)/Datos!BE17," - ")</f>
        <v>4.4376289219410711E-3</v>
      </c>
      <c r="J17" s="394">
        <f>IF(ISNUMBER((Tasas!D17-Datos!BF17)/Datos!BF17),(Tasas!D17-Datos!BF17)/Datos!BF17," - ")</f>
        <v>-0.10949284198166462</v>
      </c>
      <c r="K17" s="396">
        <f>IF(ISNUMBER((Tasas!E17-Datos!BG17)/Datos!BG17),(Tasas!E17-Datos!BG17)/Datos!BG17," - ")</f>
        <v>5.7284686221412166E-3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-5.7142857142857141E-2</v>
      </c>
      <c r="E18" s="393">
        <f>IF(ISNUMBER(
   IF(D_I="SI",(Datos!J18-Datos!T18)/Datos!T18,(Datos!J18+Datos!AD18-(Datos!T18+Datos!AL18))/(Datos!T18+Datos!AL18))
     ),IF(D_I="SI",(Datos!J18-Datos!T18)/Datos!T18,(Datos!J18+Datos!AD18-(Datos!T18+Datos!AL18))/(Datos!T18+Datos!AL18))," - ")</f>
        <v>1.7777777777777778E-2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6.0606060606060608E-2</v>
      </c>
      <c r="H18" s="244">
        <f>IF(ISNUMBER((Datos!M18-Datos!W18)/Datos!W18),(Datos!M18-Datos!W18)/Datos!W18," - ")</f>
        <v>6.6666666666666666E-2</v>
      </c>
      <c r="I18" s="395">
        <f>IF(ISNUMBER((Tasas!C18-Datos!BE18)/Datos!BE18),(Tasas!C18-Datos!BE18)/Datos!BE18," - ")</f>
        <v>6.0606060606060698E-2</v>
      </c>
      <c r="J18" s="394">
        <f>IF(ISNUMBER((Tasas!D18-Datos!BF18)/Datos!BF18),(Tasas!D18-Datos!BF18)/Datos!BF18," - ")</f>
        <v>6.6666666666666763E-2</v>
      </c>
      <c r="K18" s="396">
        <f>IF(ISNUMBER((Tasas!E18-Datos!BG18)/Datos!BG18),(Tasas!E18-Datos!BG18)/Datos!BG18," - ")</f>
        <v>7.6923076923077517E-3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-0.15852047556142668</v>
      </c>
      <c r="E23" s="399">
        <f>IF(ISNUMBER(
   IF(D_I="SI",(Datos!J23-Datos!T23)/Datos!T23,(Datos!J23+Datos!AD23-(Datos!T23+Datos!AL23))/(Datos!T23+Datos!AL23))
     ),IF(D_I="SI",(Datos!J23-Datos!T23)/Datos!T23,(Datos!J23+Datos!AD23-(Datos!T23+Datos!AL23))/(Datos!T23+Datos!AL23))," - ")</f>
        <v>0.130647795318454</v>
      </c>
      <c r="F23" s="399">
        <f>IF(ISNUMBER(
   IF(D_I="SI",(Datos!K23-Datos!U23)/Datos!U23,(Datos!K23+Datos!AE23-(Datos!U23+Datos!AM23))/(Datos!U23+Datos!AM23))
     ),IF(D_I="SI",(Datos!K23-Datos!U23)/Datos!U23,(Datos!K23+Datos!AE23-(Datos!U23+Datos!AM23))/(Datos!U23+Datos!AM23))," - ")</f>
        <v>7.4941451990632318E-2</v>
      </c>
      <c r="G23" s="400">
        <f>IF(ISNUMBER(
   IF(D_I="SI",(Datos!L23-Datos!V23)/Datos!V23,(Datos!L23+Datos!AF23-(Datos!V23+Datos!AN23))/(Datos!V23+Datos!AN23))
     ),IF(D_I="SI",(Datos!L23-Datos!V23)/Datos!V23,(Datos!L23+Datos!AF23-(Datos!V23+Datos!AN23))/(Datos!V23+Datos!AN23))," - ")</f>
        <v>8.3202511773940349E-2</v>
      </c>
      <c r="H23" s="401">
        <f>IF(ISNUMBER((Datos!M23-Datos!W23)/Datos!W23),(Datos!M23-Datos!W23)/Datos!W23," - ")</f>
        <v>-2.6960784313725492E-2</v>
      </c>
      <c r="I23" s="402">
        <f>IF(ISNUMBER((Tasas!C23-Datos!BE23)/Datos!BE23),(Tasas!C23-Datos!BE23)/Datos!BE23," - ")</f>
        <v>7.6851253321841353E-3</v>
      </c>
      <c r="J23" s="400">
        <f>IF(ISNUMBER((Tasas!D23-Datos!BF23)/Datos!BF23),(Tasas!D23-Datos!BF23)/Datos!BF23," - ")</f>
        <v>-9.4797940962877539E-2</v>
      </c>
      <c r="K23" s="403">
        <f>IF(ISNUMBER((Tasas!E23-Datos!BG23)/Datos!BG23),(Tasas!E23-Datos!BG23)/Datos!BG23," - ")</f>
        <v>5.8647998430546334E-3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-0.10317825886688162</v>
      </c>
      <c r="E31" s="409">
        <f>IF(ISNUMBER(
   IF(J_V="SI",(Datos!J31-Datos!T31)/Datos!T31,(Datos!J31+Datos!Z31-(Datos!T31+Datos!AH31))/(Datos!T31+Datos!AH31))
     ),IF(J_V="SI",(Datos!J31-Datos!T31)/Datos!T31,(Datos!J31+Datos!Z31-(Datos!T31+Datos!AH31))/(Datos!T31+Datos!AH31))," - ")</f>
        <v>7.6061072979408881E-2</v>
      </c>
      <c r="F31" s="409">
        <f>IF(ISNUMBER(
   IF(J_V="SI",(Datos!K31-Datos!U31)/Datos!U31,(Datos!K31+Datos!AA31-(Datos!U31+Datos!AI31))/(Datos!U31+Datos!AI31))
     ),IF(J_V="SI",(Datos!K31-Datos!U31)/Datos!U31,(Datos!K31+Datos!AA31-(Datos!U31+Datos!AI31))/(Datos!U31+Datos!AI31))," - ")</f>
        <v>1.335671883432272E-2</v>
      </c>
      <c r="G31" s="410">
        <f>IF(ISNUMBER(
   IF(J_V="SI",(Datos!L31-Datos!V31)/Datos!V31,(Datos!L31+Datos!AB31-(Datos!V31+Datos!AJ31))/(Datos!V31+Datos!AJ31))
     ),IF(J_V="SI",(Datos!L31-Datos!V31)/Datos!V31,(Datos!L31+Datos!AB31-(Datos!V31+Datos!AJ31))/(Datos!V31+Datos!AJ31))," - ")</f>
        <v>0.10323574730354391</v>
      </c>
      <c r="H31" s="411">
        <f>IF(ISNUMBER((Datos!M31-Datos!W31)/Datos!W31),(Datos!M31-Datos!W31)/Datos!W31," - ")</f>
        <v>-0.14368231046931407</v>
      </c>
      <c r="I31" s="408">
        <f>IF(ISNUMBER((Tasas!C31-Datos!BE31)/Datos!BE31),(Tasas!C31-Datos!BE31)/Datos!BE31," - ")</f>
        <v>8.8694362803071261E-2</v>
      </c>
      <c r="J31" s="409">
        <f>IF(ISNUMBER((Tasas!D31-Datos!BF31)/Datos!BF31),(Tasas!D31-Datos!BF31)/Datos!BF31," - ")</f>
        <v>-0.36010512447608284</v>
      </c>
      <c r="K31" s="410">
        <f>IF(ISNUMBER((Tasas!E31-Datos!BG31)/Datos!BG31),(Tasas!E31-Datos!BG31)/Datos!BG31," - ")</f>
        <v>2.0631938177032426E-2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0.13489321267295309</v>
      </c>
      <c r="E33" s="303">
        <f t="shared" si="1"/>
        <v>0.32363922303086123</v>
      </c>
      <c r="F33" s="303">
        <f t="shared" si="1"/>
        <v>3.7469463992005313E-2</v>
      </c>
      <c r="G33" s="304">
        <f t="shared" si="1"/>
        <v>1.1842319479270071</v>
      </c>
      <c r="H33" s="310">
        <f t="shared" si="1"/>
        <v>0.16248229524958116</v>
      </c>
      <c r="I33" s="302">
        <f t="shared" si="1"/>
        <v>0.92073186310898991</v>
      </c>
      <c r="J33" s="303">
        <f t="shared" si="1"/>
        <v>0.24782298594486873</v>
      </c>
      <c r="K33" s="304">
        <f t="shared" si="1"/>
        <v>0.21717132537329031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MNVomV87A+Nijdpclzs0qGUDp47F6VbxlMP895p3Rcse5miVX/WFK2qNKE3PU7UVA62QU6lZOKFdSaT1M1s5w==" saltValue="qhOJrTBPKs8B4Gkhvi3q+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